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kwu9348\Desktop\COC Info\2025 Budget\"/>
    </mc:Choice>
  </mc:AlternateContent>
  <xr:revisionPtr revIDLastSave="0" documentId="13_ncr:1_{698E32ED-7241-44F1-ADE6-751927A549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Budget Spread" sheetId="5" r:id="rId1"/>
    <sheet name="Profit and Loss" sheetId="1" r:id="rId2"/>
    <sheet name="Sheet2" sheetId="3" r:id="rId3"/>
    <sheet name="Profit and Loss (2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3" i="5" l="1"/>
  <c r="Z119" i="5"/>
  <c r="Z123" i="5" s="1"/>
  <c r="D124" i="5"/>
  <c r="F124" i="5"/>
  <c r="H124" i="5"/>
  <c r="J124" i="5"/>
  <c r="L124" i="5"/>
  <c r="N124" i="5"/>
  <c r="P124" i="5"/>
  <c r="Y124" i="5"/>
  <c r="B124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S123" i="5"/>
  <c r="U123" i="5"/>
  <c r="W123" i="5"/>
  <c r="B123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R123" i="5" s="1"/>
  <c r="R124" i="5" s="1"/>
  <c r="S119" i="5"/>
  <c r="U119" i="5"/>
  <c r="W119" i="5"/>
  <c r="B119" i="5"/>
  <c r="D113" i="5"/>
  <c r="F113" i="5"/>
  <c r="H113" i="5"/>
  <c r="J113" i="5"/>
  <c r="L113" i="5"/>
  <c r="N113" i="5"/>
  <c r="P113" i="5"/>
  <c r="R113" i="5"/>
  <c r="T113" i="5"/>
  <c r="V113" i="5"/>
  <c r="B113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B112" i="5"/>
  <c r="C110" i="5"/>
  <c r="D110" i="5"/>
  <c r="D96" i="5" s="1"/>
  <c r="E110" i="5"/>
  <c r="F110" i="5"/>
  <c r="F96" i="5" s="1"/>
  <c r="G110" i="5"/>
  <c r="G96" i="5" s="1"/>
  <c r="H110" i="5"/>
  <c r="I110" i="5"/>
  <c r="J110" i="5"/>
  <c r="K110" i="5"/>
  <c r="L110" i="5"/>
  <c r="M110" i="5"/>
  <c r="N110" i="5"/>
  <c r="N96" i="5" s="1"/>
  <c r="O110" i="5"/>
  <c r="P110" i="5"/>
  <c r="P96" i="5" s="1"/>
  <c r="Q110" i="5"/>
  <c r="R110" i="5"/>
  <c r="R96" i="5" s="1"/>
  <c r="S110" i="5"/>
  <c r="S96" i="5" s="1"/>
  <c r="T110" i="5"/>
  <c r="U110" i="5"/>
  <c r="V110" i="5"/>
  <c r="W110" i="5"/>
  <c r="X110" i="5"/>
  <c r="B110" i="5"/>
  <c r="B96" i="5" s="1"/>
  <c r="AA108" i="5"/>
  <c r="C96" i="5"/>
  <c r="E96" i="5"/>
  <c r="H96" i="5"/>
  <c r="I96" i="5"/>
  <c r="J96" i="5"/>
  <c r="K96" i="5"/>
  <c r="L96" i="5"/>
  <c r="M96" i="5"/>
  <c r="O96" i="5"/>
  <c r="Q96" i="5"/>
  <c r="T96" i="5"/>
  <c r="U96" i="5"/>
  <c r="V96" i="5"/>
  <c r="W96" i="5"/>
  <c r="X96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B105" i="5"/>
  <c r="D90" i="5"/>
  <c r="D77" i="5"/>
  <c r="F77" i="5"/>
  <c r="H77" i="5"/>
  <c r="J77" i="5"/>
  <c r="L77" i="5"/>
  <c r="N77" i="5"/>
  <c r="P77" i="5"/>
  <c r="R77" i="5"/>
  <c r="T77" i="5"/>
  <c r="V77" i="5"/>
  <c r="D12" i="5"/>
  <c r="F12" i="5"/>
  <c r="H12" i="5"/>
  <c r="J12" i="5"/>
  <c r="AA12" i="5" s="1"/>
  <c r="L12" i="5"/>
  <c r="N12" i="5"/>
  <c r="P12" i="5"/>
  <c r="R12" i="5"/>
  <c r="T12" i="5"/>
  <c r="V12" i="5"/>
  <c r="X12" i="5"/>
  <c r="B12" i="5"/>
  <c r="B77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B76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B75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B70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B65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B59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B55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B52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B48" i="5"/>
  <c r="B40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B36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B31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B23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B18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X48" i="5" s="1"/>
  <c r="X77" i="5" s="1"/>
  <c r="X113" i="5" s="1"/>
  <c r="Y47" i="5"/>
  <c r="B47" i="5"/>
  <c r="B46" i="5"/>
  <c r="AA46" i="5" s="1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B44" i="5"/>
  <c r="C40" i="5"/>
  <c r="D40" i="5"/>
  <c r="AA40" i="5" s="1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D8" i="5"/>
  <c r="F8" i="5"/>
  <c r="H8" i="5"/>
  <c r="J8" i="5"/>
  <c r="AA8" i="5" s="1"/>
  <c r="L8" i="5"/>
  <c r="N8" i="5"/>
  <c r="P8" i="5"/>
  <c r="R8" i="5"/>
  <c r="T8" i="5"/>
  <c r="V8" i="5"/>
  <c r="X8" i="5"/>
  <c r="B8" i="5"/>
  <c r="D10" i="5"/>
  <c r="F10" i="5"/>
  <c r="H10" i="5"/>
  <c r="J10" i="5"/>
  <c r="L10" i="5"/>
  <c r="N10" i="5"/>
  <c r="P10" i="5"/>
  <c r="R10" i="5"/>
  <c r="T10" i="5"/>
  <c r="V10" i="5"/>
  <c r="X10" i="5"/>
  <c r="B10" i="5"/>
  <c r="AA11" i="5"/>
  <c r="X122" i="5"/>
  <c r="AA122" i="5" s="1"/>
  <c r="V122" i="5"/>
  <c r="T122" i="5"/>
  <c r="R122" i="5"/>
  <c r="P122" i="5"/>
  <c r="N122" i="5"/>
  <c r="L122" i="5"/>
  <c r="J122" i="5"/>
  <c r="H122" i="5"/>
  <c r="F122" i="5"/>
  <c r="D122" i="5"/>
  <c r="B122" i="5"/>
  <c r="X121" i="5"/>
  <c r="V121" i="5"/>
  <c r="T121" i="5"/>
  <c r="R121" i="5"/>
  <c r="P121" i="5"/>
  <c r="N121" i="5"/>
  <c r="L121" i="5"/>
  <c r="J121" i="5"/>
  <c r="H121" i="5"/>
  <c r="F121" i="5"/>
  <c r="D121" i="5"/>
  <c r="B121" i="5"/>
  <c r="AA121" i="5" s="1"/>
  <c r="X118" i="5"/>
  <c r="X119" i="5" s="1"/>
  <c r="X123" i="5" s="1"/>
  <c r="V118" i="5"/>
  <c r="V119" i="5" s="1"/>
  <c r="V123" i="5" s="1"/>
  <c r="V124" i="5" s="1"/>
  <c r="T118" i="5"/>
  <c r="T119" i="5" s="1"/>
  <c r="T123" i="5" s="1"/>
  <c r="T124" i="5" s="1"/>
  <c r="R118" i="5"/>
  <c r="X117" i="5"/>
  <c r="V117" i="5"/>
  <c r="T117" i="5"/>
  <c r="R117" i="5"/>
  <c r="P117" i="5"/>
  <c r="N117" i="5"/>
  <c r="L117" i="5"/>
  <c r="J117" i="5"/>
  <c r="H117" i="5"/>
  <c r="F117" i="5"/>
  <c r="D117" i="5"/>
  <c r="B117" i="5"/>
  <c r="AA117" i="5" s="1"/>
  <c r="X116" i="5"/>
  <c r="V116" i="5"/>
  <c r="T116" i="5"/>
  <c r="R116" i="5"/>
  <c r="P116" i="5"/>
  <c r="N116" i="5"/>
  <c r="L116" i="5"/>
  <c r="J116" i="5"/>
  <c r="H116" i="5"/>
  <c r="F116" i="5"/>
  <c r="D116" i="5"/>
  <c r="B116" i="5"/>
  <c r="AA116" i="5" s="1"/>
  <c r="X115" i="5"/>
  <c r="V115" i="5"/>
  <c r="T115" i="5"/>
  <c r="R115" i="5"/>
  <c r="P115" i="5"/>
  <c r="N115" i="5"/>
  <c r="L115" i="5"/>
  <c r="J115" i="5"/>
  <c r="H115" i="5"/>
  <c r="F115" i="5"/>
  <c r="D115" i="5"/>
  <c r="B115" i="5"/>
  <c r="AA115" i="5" s="1"/>
  <c r="X114" i="5"/>
  <c r="X111" i="5"/>
  <c r="V111" i="5"/>
  <c r="T111" i="5"/>
  <c r="R111" i="5"/>
  <c r="P111" i="5"/>
  <c r="N111" i="5"/>
  <c r="L111" i="5"/>
  <c r="J111" i="5"/>
  <c r="H111" i="5"/>
  <c r="F111" i="5"/>
  <c r="D111" i="5"/>
  <c r="B111" i="5"/>
  <c r="AA111" i="5" s="1"/>
  <c r="Z110" i="5"/>
  <c r="X109" i="5"/>
  <c r="V109" i="5"/>
  <c r="T109" i="5"/>
  <c r="R109" i="5"/>
  <c r="P109" i="5"/>
  <c r="N109" i="5"/>
  <c r="L109" i="5"/>
  <c r="J109" i="5"/>
  <c r="H109" i="5"/>
  <c r="F109" i="5"/>
  <c r="D109" i="5"/>
  <c r="B109" i="5"/>
  <c r="AA109" i="5" s="1"/>
  <c r="X106" i="5"/>
  <c r="V106" i="5"/>
  <c r="T106" i="5"/>
  <c r="R106" i="5"/>
  <c r="P106" i="5"/>
  <c r="N106" i="5"/>
  <c r="L106" i="5"/>
  <c r="J106" i="5"/>
  <c r="H106" i="5"/>
  <c r="F106" i="5"/>
  <c r="D106" i="5"/>
  <c r="B106" i="5"/>
  <c r="AA106" i="5" s="1"/>
  <c r="Z105" i="5"/>
  <c r="X104" i="5"/>
  <c r="V104" i="5"/>
  <c r="T104" i="5"/>
  <c r="R104" i="5"/>
  <c r="P104" i="5"/>
  <c r="N104" i="5"/>
  <c r="L104" i="5"/>
  <c r="J104" i="5"/>
  <c r="H104" i="5"/>
  <c r="F104" i="5"/>
  <c r="D104" i="5"/>
  <c r="B104" i="5"/>
  <c r="AA104" i="5" s="1"/>
  <c r="X103" i="5"/>
  <c r="V103" i="5"/>
  <c r="T103" i="5"/>
  <c r="R103" i="5"/>
  <c r="P103" i="5"/>
  <c r="N103" i="5"/>
  <c r="L103" i="5"/>
  <c r="J103" i="5"/>
  <c r="H103" i="5"/>
  <c r="F103" i="5"/>
  <c r="D103" i="5"/>
  <c r="B103" i="5"/>
  <c r="AA103" i="5" s="1"/>
  <c r="X102" i="5"/>
  <c r="V102" i="5"/>
  <c r="T102" i="5"/>
  <c r="R102" i="5"/>
  <c r="P102" i="5"/>
  <c r="N102" i="5"/>
  <c r="L102" i="5"/>
  <c r="J102" i="5"/>
  <c r="H102" i="5"/>
  <c r="F102" i="5"/>
  <c r="D102" i="5"/>
  <c r="B102" i="5"/>
  <c r="AA102" i="5" s="1"/>
  <c r="X101" i="5"/>
  <c r="V101" i="5"/>
  <c r="T101" i="5"/>
  <c r="R101" i="5"/>
  <c r="P101" i="5"/>
  <c r="N101" i="5"/>
  <c r="L101" i="5"/>
  <c r="J101" i="5"/>
  <c r="H101" i="5"/>
  <c r="F101" i="5"/>
  <c r="D101" i="5"/>
  <c r="B101" i="5"/>
  <c r="AA101" i="5" s="1"/>
  <c r="X100" i="5"/>
  <c r="AA100" i="5" s="1"/>
  <c r="X99" i="5"/>
  <c r="V99" i="5"/>
  <c r="T99" i="5"/>
  <c r="R99" i="5"/>
  <c r="P99" i="5"/>
  <c r="N99" i="5"/>
  <c r="L99" i="5"/>
  <c r="J99" i="5"/>
  <c r="H99" i="5"/>
  <c r="F99" i="5"/>
  <c r="D99" i="5"/>
  <c r="B99" i="5"/>
  <c r="AA99" i="5" s="1"/>
  <c r="X98" i="5"/>
  <c r="V98" i="5"/>
  <c r="T98" i="5"/>
  <c r="R98" i="5"/>
  <c r="P98" i="5"/>
  <c r="N98" i="5"/>
  <c r="L98" i="5"/>
  <c r="J98" i="5"/>
  <c r="H98" i="5"/>
  <c r="F98" i="5"/>
  <c r="D98" i="5"/>
  <c r="B98" i="5"/>
  <c r="AA98" i="5" s="1"/>
  <c r="X97" i="5"/>
  <c r="V97" i="5"/>
  <c r="T97" i="5"/>
  <c r="R97" i="5"/>
  <c r="P97" i="5"/>
  <c r="N97" i="5"/>
  <c r="L97" i="5"/>
  <c r="J97" i="5"/>
  <c r="H97" i="5"/>
  <c r="F97" i="5"/>
  <c r="D97" i="5"/>
  <c r="B97" i="5"/>
  <c r="AA97" i="5" s="1"/>
  <c r="X94" i="5"/>
  <c r="V94" i="5"/>
  <c r="T94" i="5"/>
  <c r="R94" i="5"/>
  <c r="P94" i="5"/>
  <c r="N94" i="5"/>
  <c r="L94" i="5"/>
  <c r="J94" i="5"/>
  <c r="H94" i="5"/>
  <c r="F94" i="5"/>
  <c r="D94" i="5"/>
  <c r="B94" i="5"/>
  <c r="AA94" i="5" s="1"/>
  <c r="Z93" i="5"/>
  <c r="X93" i="5"/>
  <c r="V93" i="5"/>
  <c r="T93" i="5"/>
  <c r="R93" i="5"/>
  <c r="P93" i="5"/>
  <c r="N93" i="5"/>
  <c r="L93" i="5"/>
  <c r="J93" i="5"/>
  <c r="H93" i="5"/>
  <c r="F93" i="5"/>
  <c r="D93" i="5"/>
  <c r="AA93" i="5" s="1"/>
  <c r="B93" i="5"/>
  <c r="X92" i="5"/>
  <c r="V92" i="5"/>
  <c r="T92" i="5"/>
  <c r="R92" i="5"/>
  <c r="P92" i="5"/>
  <c r="N92" i="5"/>
  <c r="L92" i="5"/>
  <c r="J92" i="5"/>
  <c r="H92" i="5"/>
  <c r="F92" i="5"/>
  <c r="D92" i="5"/>
  <c r="B92" i="5"/>
  <c r="AA92" i="5" s="1"/>
  <c r="X90" i="5"/>
  <c r="V90" i="5"/>
  <c r="T90" i="5"/>
  <c r="R90" i="5"/>
  <c r="P90" i="5"/>
  <c r="N90" i="5"/>
  <c r="L90" i="5"/>
  <c r="J90" i="5"/>
  <c r="H90" i="5"/>
  <c r="F90" i="5"/>
  <c r="B90" i="5"/>
  <c r="AA90" i="5" s="1"/>
  <c r="X89" i="5"/>
  <c r="V89" i="5"/>
  <c r="T89" i="5"/>
  <c r="R89" i="5"/>
  <c r="P89" i="5"/>
  <c r="N89" i="5"/>
  <c r="L89" i="5"/>
  <c r="J89" i="5"/>
  <c r="H89" i="5"/>
  <c r="F89" i="5"/>
  <c r="D89" i="5"/>
  <c r="B89" i="5"/>
  <c r="AA89" i="5" s="1"/>
  <c r="X88" i="5"/>
  <c r="V88" i="5"/>
  <c r="T88" i="5"/>
  <c r="R88" i="5"/>
  <c r="P88" i="5"/>
  <c r="N88" i="5"/>
  <c r="L88" i="5"/>
  <c r="J88" i="5"/>
  <c r="H88" i="5"/>
  <c r="F88" i="5"/>
  <c r="D88" i="5"/>
  <c r="B88" i="5"/>
  <c r="AA88" i="5" s="1"/>
  <c r="Z87" i="5"/>
  <c r="J87" i="5" s="1"/>
  <c r="V87" i="5"/>
  <c r="T87" i="5"/>
  <c r="R87" i="5"/>
  <c r="L87" i="5"/>
  <c r="B87" i="5"/>
  <c r="X86" i="5"/>
  <c r="V86" i="5"/>
  <c r="T86" i="5"/>
  <c r="R86" i="5"/>
  <c r="P86" i="5"/>
  <c r="N86" i="5"/>
  <c r="L86" i="5"/>
  <c r="J86" i="5"/>
  <c r="H86" i="5"/>
  <c r="F86" i="5"/>
  <c r="D86" i="5"/>
  <c r="B86" i="5"/>
  <c r="AA86" i="5" s="1"/>
  <c r="X84" i="5"/>
  <c r="V84" i="5"/>
  <c r="T84" i="5"/>
  <c r="R84" i="5"/>
  <c r="P84" i="5"/>
  <c r="N84" i="5"/>
  <c r="L84" i="5"/>
  <c r="J84" i="5"/>
  <c r="H84" i="5"/>
  <c r="F84" i="5"/>
  <c r="D84" i="5"/>
  <c r="B84" i="5"/>
  <c r="AA84" i="5" s="1"/>
  <c r="X83" i="5"/>
  <c r="V83" i="5"/>
  <c r="T83" i="5"/>
  <c r="R83" i="5"/>
  <c r="P83" i="5"/>
  <c r="N83" i="5"/>
  <c r="L83" i="5"/>
  <c r="J83" i="5"/>
  <c r="H83" i="5"/>
  <c r="F83" i="5"/>
  <c r="D83" i="5"/>
  <c r="B83" i="5"/>
  <c r="AA83" i="5" s="1"/>
  <c r="X82" i="5"/>
  <c r="V82" i="5"/>
  <c r="T82" i="5"/>
  <c r="R82" i="5"/>
  <c r="P82" i="5"/>
  <c r="N82" i="5"/>
  <c r="L82" i="5"/>
  <c r="J82" i="5"/>
  <c r="H82" i="5"/>
  <c r="F82" i="5"/>
  <c r="D82" i="5"/>
  <c r="B82" i="5"/>
  <c r="AA82" i="5" s="1"/>
  <c r="X81" i="5"/>
  <c r="V81" i="5"/>
  <c r="T81" i="5"/>
  <c r="R81" i="5"/>
  <c r="P81" i="5"/>
  <c r="N81" i="5"/>
  <c r="L81" i="5"/>
  <c r="J81" i="5"/>
  <c r="H81" i="5"/>
  <c r="F81" i="5"/>
  <c r="D81" i="5"/>
  <c r="B81" i="5"/>
  <c r="AA81" i="5" s="1"/>
  <c r="X80" i="5"/>
  <c r="V80" i="5"/>
  <c r="T80" i="5"/>
  <c r="R80" i="5"/>
  <c r="P80" i="5"/>
  <c r="N80" i="5"/>
  <c r="L80" i="5"/>
  <c r="J80" i="5"/>
  <c r="H80" i="5"/>
  <c r="F80" i="5"/>
  <c r="D80" i="5"/>
  <c r="B80" i="5"/>
  <c r="AA80" i="5" s="1"/>
  <c r="AA78" i="5"/>
  <c r="Z75" i="5"/>
  <c r="Z76" i="5" s="1"/>
  <c r="B74" i="5"/>
  <c r="AA74" i="5" s="1"/>
  <c r="AA73" i="5"/>
  <c r="X72" i="5"/>
  <c r="V72" i="5"/>
  <c r="T72" i="5"/>
  <c r="B72" i="5"/>
  <c r="AA72" i="5" s="1"/>
  <c r="Z70" i="5"/>
  <c r="X69" i="5"/>
  <c r="V69" i="5"/>
  <c r="T69" i="5"/>
  <c r="R69" i="5"/>
  <c r="P69" i="5"/>
  <c r="N69" i="5"/>
  <c r="L69" i="5"/>
  <c r="J69" i="5"/>
  <c r="H69" i="5"/>
  <c r="F69" i="5"/>
  <c r="D69" i="5"/>
  <c r="B69" i="5"/>
  <c r="AA69" i="5" s="1"/>
  <c r="X68" i="5"/>
  <c r="V68" i="5"/>
  <c r="T68" i="5"/>
  <c r="R68" i="5"/>
  <c r="P68" i="5"/>
  <c r="N68" i="5"/>
  <c r="L68" i="5"/>
  <c r="J68" i="5"/>
  <c r="H68" i="5"/>
  <c r="F68" i="5"/>
  <c r="D68" i="5"/>
  <c r="B68" i="5"/>
  <c r="AA68" i="5" s="1"/>
  <c r="X67" i="5"/>
  <c r="V67" i="5"/>
  <c r="T67" i="5"/>
  <c r="R67" i="5"/>
  <c r="P67" i="5"/>
  <c r="N67" i="5"/>
  <c r="L67" i="5"/>
  <c r="J67" i="5"/>
  <c r="H67" i="5"/>
  <c r="F67" i="5"/>
  <c r="D67" i="5"/>
  <c r="B67" i="5"/>
  <c r="AA67" i="5" s="1"/>
  <c r="Z65" i="5"/>
  <c r="X64" i="5"/>
  <c r="V64" i="5"/>
  <c r="T64" i="5"/>
  <c r="R64" i="5"/>
  <c r="P64" i="5"/>
  <c r="N64" i="5"/>
  <c r="L64" i="5"/>
  <c r="J64" i="5"/>
  <c r="H64" i="5"/>
  <c r="F64" i="5"/>
  <c r="D64" i="5"/>
  <c r="B64" i="5"/>
  <c r="AA64" i="5" s="1"/>
  <c r="X63" i="5"/>
  <c r="V63" i="5"/>
  <c r="T63" i="5"/>
  <c r="R63" i="5"/>
  <c r="P63" i="5"/>
  <c r="N63" i="5"/>
  <c r="L63" i="5"/>
  <c r="J63" i="5"/>
  <c r="H63" i="5"/>
  <c r="F63" i="5"/>
  <c r="D63" i="5"/>
  <c r="B63" i="5"/>
  <c r="AA63" i="5" s="1"/>
  <c r="X62" i="5"/>
  <c r="V62" i="5"/>
  <c r="T62" i="5"/>
  <c r="R62" i="5"/>
  <c r="P62" i="5"/>
  <c r="N62" i="5"/>
  <c r="D62" i="5"/>
  <c r="B62" i="5"/>
  <c r="AA62" i="5" s="1"/>
  <c r="Z59" i="5"/>
  <c r="X58" i="5"/>
  <c r="V58" i="5"/>
  <c r="T58" i="5"/>
  <c r="R58" i="5"/>
  <c r="P58" i="5"/>
  <c r="N58" i="5"/>
  <c r="L58" i="5"/>
  <c r="J58" i="5"/>
  <c r="H58" i="5"/>
  <c r="F58" i="5"/>
  <c r="D58" i="5"/>
  <c r="B58" i="5"/>
  <c r="AA58" i="5" s="1"/>
  <c r="X57" i="5"/>
  <c r="V57" i="5"/>
  <c r="T57" i="5"/>
  <c r="R57" i="5"/>
  <c r="P57" i="5"/>
  <c r="N57" i="5"/>
  <c r="L57" i="5"/>
  <c r="J57" i="5"/>
  <c r="H57" i="5"/>
  <c r="F57" i="5"/>
  <c r="D57" i="5"/>
  <c r="AA57" i="5"/>
  <c r="Z55" i="5"/>
  <c r="X54" i="5"/>
  <c r="V54" i="5"/>
  <c r="T54" i="5"/>
  <c r="R54" i="5"/>
  <c r="P54" i="5"/>
  <c r="N54" i="5"/>
  <c r="L54" i="5"/>
  <c r="J54" i="5"/>
  <c r="H54" i="5"/>
  <c r="F54" i="5"/>
  <c r="D54" i="5"/>
  <c r="B54" i="5"/>
  <c r="AA54" i="5" s="1"/>
  <c r="X53" i="5"/>
  <c r="B53" i="5"/>
  <c r="AA53" i="5" s="1"/>
  <c r="Z52" i="5"/>
  <c r="X51" i="5"/>
  <c r="V51" i="5"/>
  <c r="T51" i="5"/>
  <c r="R51" i="5"/>
  <c r="P51" i="5"/>
  <c r="N51" i="5"/>
  <c r="L51" i="5"/>
  <c r="J51" i="5"/>
  <c r="H51" i="5"/>
  <c r="F51" i="5"/>
  <c r="D51" i="5"/>
  <c r="B51" i="5"/>
  <c r="AA51" i="5" s="1"/>
  <c r="X50" i="5"/>
  <c r="V50" i="5"/>
  <c r="T50" i="5"/>
  <c r="R50" i="5"/>
  <c r="AA50" i="5"/>
  <c r="Z47" i="5"/>
  <c r="Z44" i="5"/>
  <c r="AA43" i="5"/>
  <c r="AA42" i="5"/>
  <c r="Z40" i="5"/>
  <c r="X39" i="5"/>
  <c r="V39" i="5"/>
  <c r="T39" i="5"/>
  <c r="R39" i="5"/>
  <c r="P39" i="5"/>
  <c r="N39" i="5"/>
  <c r="L39" i="5"/>
  <c r="J39" i="5"/>
  <c r="H39" i="5"/>
  <c r="F39" i="5"/>
  <c r="D39" i="5"/>
  <c r="B39" i="5"/>
  <c r="AA39" i="5" s="1"/>
  <c r="X38" i="5"/>
  <c r="V38" i="5"/>
  <c r="T38" i="5"/>
  <c r="R38" i="5"/>
  <c r="P38" i="5"/>
  <c r="N38" i="5"/>
  <c r="L38" i="5"/>
  <c r="J38" i="5"/>
  <c r="H38" i="5"/>
  <c r="F38" i="5"/>
  <c r="D38" i="5"/>
  <c r="B38" i="5"/>
  <c r="AA38" i="5" s="1"/>
  <c r="Z36" i="5"/>
  <c r="X35" i="5"/>
  <c r="V35" i="5"/>
  <c r="T35" i="5"/>
  <c r="R35" i="5"/>
  <c r="P35" i="5"/>
  <c r="N35" i="5"/>
  <c r="L35" i="5"/>
  <c r="J35" i="5"/>
  <c r="H35" i="5"/>
  <c r="F35" i="5"/>
  <c r="D35" i="5"/>
  <c r="B35" i="5"/>
  <c r="AA35" i="5" s="1"/>
  <c r="X34" i="5"/>
  <c r="V34" i="5"/>
  <c r="T34" i="5"/>
  <c r="R34" i="5"/>
  <c r="P34" i="5"/>
  <c r="N34" i="5"/>
  <c r="L34" i="5"/>
  <c r="J34" i="5"/>
  <c r="H34" i="5"/>
  <c r="F34" i="5"/>
  <c r="D34" i="5"/>
  <c r="B34" i="5"/>
  <c r="AA34" i="5" s="1"/>
  <c r="X33" i="5"/>
  <c r="V33" i="5"/>
  <c r="T33" i="5"/>
  <c r="R33" i="5"/>
  <c r="P33" i="5"/>
  <c r="N33" i="5"/>
  <c r="L33" i="5"/>
  <c r="J33" i="5"/>
  <c r="H33" i="5"/>
  <c r="F33" i="5"/>
  <c r="D33" i="5"/>
  <c r="B33" i="5"/>
  <c r="AA33" i="5" s="1"/>
  <c r="X32" i="5"/>
  <c r="AA32" i="5" s="1"/>
  <c r="Z31" i="5"/>
  <c r="X30" i="5"/>
  <c r="V30" i="5"/>
  <c r="T30" i="5"/>
  <c r="R30" i="5"/>
  <c r="P30" i="5"/>
  <c r="N30" i="5"/>
  <c r="L30" i="5"/>
  <c r="J30" i="5"/>
  <c r="H30" i="5"/>
  <c r="F30" i="5"/>
  <c r="D30" i="5"/>
  <c r="B30" i="5"/>
  <c r="AA30" i="5" s="1"/>
  <c r="X29" i="5"/>
  <c r="V29" i="5"/>
  <c r="T29" i="5"/>
  <c r="R29" i="5"/>
  <c r="P29" i="5"/>
  <c r="N29" i="5"/>
  <c r="L29" i="5"/>
  <c r="J29" i="5"/>
  <c r="H29" i="5"/>
  <c r="F29" i="5"/>
  <c r="D29" i="5"/>
  <c r="B29" i="5"/>
  <c r="AA29" i="5" s="1"/>
  <c r="X28" i="5"/>
  <c r="V28" i="5"/>
  <c r="T28" i="5"/>
  <c r="R28" i="5"/>
  <c r="P28" i="5"/>
  <c r="N28" i="5"/>
  <c r="L28" i="5"/>
  <c r="J28" i="5"/>
  <c r="H28" i="5"/>
  <c r="F28" i="5"/>
  <c r="D28" i="5"/>
  <c r="B28" i="5"/>
  <c r="AA28" i="5" s="1"/>
  <c r="X27" i="5"/>
  <c r="V27" i="5"/>
  <c r="T27" i="5"/>
  <c r="P27" i="5"/>
  <c r="L27" i="5"/>
  <c r="J27" i="5"/>
  <c r="H27" i="5"/>
  <c r="F27" i="5"/>
  <c r="D27" i="5"/>
  <c r="AA27" i="5"/>
  <c r="X26" i="5"/>
  <c r="V26" i="5"/>
  <c r="T26" i="5"/>
  <c r="R26" i="5"/>
  <c r="P26" i="5"/>
  <c r="N26" i="5"/>
  <c r="L26" i="5"/>
  <c r="J26" i="5"/>
  <c r="H26" i="5"/>
  <c r="F26" i="5"/>
  <c r="D26" i="5"/>
  <c r="B26" i="5"/>
  <c r="AA26" i="5" s="1"/>
  <c r="X25" i="5"/>
  <c r="V25" i="5"/>
  <c r="T25" i="5"/>
  <c r="R25" i="5"/>
  <c r="P25" i="5"/>
  <c r="N25" i="5"/>
  <c r="L25" i="5"/>
  <c r="J25" i="5"/>
  <c r="H25" i="5"/>
  <c r="F25" i="5"/>
  <c r="D25" i="5"/>
  <c r="B25" i="5"/>
  <c r="AA25" i="5" s="1"/>
  <c r="Z23" i="5"/>
  <c r="X22" i="5"/>
  <c r="V22" i="5"/>
  <c r="T22" i="5"/>
  <c r="R22" i="5"/>
  <c r="P22" i="5"/>
  <c r="N22" i="5"/>
  <c r="L22" i="5"/>
  <c r="J22" i="5"/>
  <c r="H22" i="5"/>
  <c r="F22" i="5"/>
  <c r="D22" i="5"/>
  <c r="B22" i="5"/>
  <c r="AA22" i="5" s="1"/>
  <c r="X21" i="5"/>
  <c r="V21" i="5"/>
  <c r="T21" i="5"/>
  <c r="R21" i="5"/>
  <c r="P21" i="5"/>
  <c r="N21" i="5"/>
  <c r="L21" i="5"/>
  <c r="J21" i="5"/>
  <c r="H21" i="5"/>
  <c r="F21" i="5"/>
  <c r="D21" i="5"/>
  <c r="B21" i="5"/>
  <c r="AA21" i="5" s="1"/>
  <c r="X20" i="5"/>
  <c r="V20" i="5"/>
  <c r="T20" i="5"/>
  <c r="R20" i="5"/>
  <c r="N20" i="5"/>
  <c r="L20" i="5"/>
  <c r="J20" i="5"/>
  <c r="H20" i="5"/>
  <c r="F20" i="5"/>
  <c r="D20" i="5"/>
  <c r="B20" i="5"/>
  <c r="AA20" i="5" s="1"/>
  <c r="Z18" i="5"/>
  <c r="X17" i="5"/>
  <c r="V17" i="5"/>
  <c r="T17" i="5"/>
  <c r="R17" i="5"/>
  <c r="P17" i="5"/>
  <c r="N17" i="5"/>
  <c r="L17" i="5"/>
  <c r="J17" i="5"/>
  <c r="H17" i="5"/>
  <c r="F17" i="5"/>
  <c r="D17" i="5"/>
  <c r="B17" i="5"/>
  <c r="AA17" i="5" s="1"/>
  <c r="X16" i="5"/>
  <c r="V16" i="5"/>
  <c r="T16" i="5"/>
  <c r="R16" i="5"/>
  <c r="P16" i="5"/>
  <c r="N16" i="5"/>
  <c r="L16" i="5"/>
  <c r="J16" i="5"/>
  <c r="H16" i="5"/>
  <c r="F16" i="5"/>
  <c r="D16" i="5"/>
  <c r="B16" i="5"/>
  <c r="AA16" i="5" s="1"/>
  <c r="X15" i="5"/>
  <c r="V15" i="5"/>
  <c r="T15" i="5"/>
  <c r="R15" i="5"/>
  <c r="P15" i="5"/>
  <c r="N15" i="5"/>
  <c r="L15" i="5"/>
  <c r="J15" i="5"/>
  <c r="H15" i="5"/>
  <c r="F15" i="5"/>
  <c r="D15" i="5"/>
  <c r="B15" i="5"/>
  <c r="AA15" i="5" s="1"/>
  <c r="Z12" i="5"/>
  <c r="Y11" i="5"/>
  <c r="X9" i="5"/>
  <c r="V9" i="5"/>
  <c r="T9" i="5"/>
  <c r="R9" i="5"/>
  <c r="P9" i="5"/>
  <c r="N9" i="5"/>
  <c r="L9" i="5"/>
  <c r="J9" i="5"/>
  <c r="H9" i="5"/>
  <c r="F9" i="5"/>
  <c r="D9" i="5"/>
  <c r="B9" i="5"/>
  <c r="AA9" i="5" s="1"/>
  <c r="X52" i="4"/>
  <c r="X9" i="4"/>
  <c r="X10" i="4"/>
  <c r="X14" i="4"/>
  <c r="X15" i="4"/>
  <c r="X16" i="4"/>
  <c r="X19" i="4"/>
  <c r="X20" i="4"/>
  <c r="X21" i="4"/>
  <c r="X24" i="4"/>
  <c r="X25" i="4"/>
  <c r="X26" i="4"/>
  <c r="X27" i="4"/>
  <c r="X28" i="4"/>
  <c r="X29" i="4"/>
  <c r="X31" i="4"/>
  <c r="AA31" i="4" s="1"/>
  <c r="X32" i="4"/>
  <c r="X33" i="4"/>
  <c r="X34" i="4"/>
  <c r="X37" i="4"/>
  <c r="X38" i="4"/>
  <c r="X41" i="4"/>
  <c r="X42" i="4"/>
  <c r="X45" i="4"/>
  <c r="X49" i="4"/>
  <c r="X50" i="4"/>
  <c r="X53" i="4"/>
  <c r="X56" i="4"/>
  <c r="X57" i="4"/>
  <c r="X61" i="4"/>
  <c r="X62" i="4"/>
  <c r="X63" i="4"/>
  <c r="X66" i="4"/>
  <c r="X67" i="4"/>
  <c r="X68" i="4"/>
  <c r="X71" i="4"/>
  <c r="X72" i="4"/>
  <c r="X73" i="4"/>
  <c r="X77" i="4"/>
  <c r="X79" i="4"/>
  <c r="X80" i="4"/>
  <c r="X81" i="4"/>
  <c r="X82" i="4"/>
  <c r="X83" i="4"/>
  <c r="X85" i="4"/>
  <c r="X87" i="4"/>
  <c r="X88" i="4"/>
  <c r="X89" i="4"/>
  <c r="X91" i="4"/>
  <c r="X93" i="4"/>
  <c r="X94" i="4"/>
  <c r="X95" i="4"/>
  <c r="X96" i="4"/>
  <c r="X97" i="4"/>
  <c r="X98" i="4"/>
  <c r="X99" i="4"/>
  <c r="AA99" i="4" s="1"/>
  <c r="X100" i="4"/>
  <c r="X101" i="4"/>
  <c r="X102" i="4"/>
  <c r="X103" i="4"/>
  <c r="X105" i="4"/>
  <c r="X107" i="4"/>
  <c r="X108" i="4"/>
  <c r="X110" i="4"/>
  <c r="X113" i="4"/>
  <c r="X114" i="4"/>
  <c r="X115" i="4"/>
  <c r="X116" i="4"/>
  <c r="X117" i="4"/>
  <c r="X118" i="4"/>
  <c r="X120" i="4"/>
  <c r="X121" i="4"/>
  <c r="V9" i="4"/>
  <c r="V10" i="4"/>
  <c r="V14" i="4"/>
  <c r="V15" i="4"/>
  <c r="V16" i="4"/>
  <c r="V19" i="4"/>
  <c r="V20" i="4"/>
  <c r="V21" i="4"/>
  <c r="V24" i="4"/>
  <c r="V25" i="4"/>
  <c r="V26" i="4"/>
  <c r="V27" i="4"/>
  <c r="V28" i="4"/>
  <c r="V29" i="4"/>
  <c r="V32" i="4"/>
  <c r="V33" i="4"/>
  <c r="V34" i="4"/>
  <c r="V37" i="4"/>
  <c r="V38" i="4"/>
  <c r="V41" i="4"/>
  <c r="V42" i="4"/>
  <c r="V45" i="4"/>
  <c r="V49" i="4"/>
  <c r="V50" i="4"/>
  <c r="V52" i="4"/>
  <c r="V53" i="4"/>
  <c r="V56" i="4"/>
  <c r="V57" i="4"/>
  <c r="V61" i="4"/>
  <c r="V62" i="4"/>
  <c r="V63" i="4"/>
  <c r="V66" i="4"/>
  <c r="V67" i="4"/>
  <c r="V68" i="4"/>
  <c r="V71" i="4"/>
  <c r="V72" i="4"/>
  <c r="V73" i="4"/>
  <c r="V77" i="4"/>
  <c r="V79" i="4"/>
  <c r="V80" i="4"/>
  <c r="V81" i="4"/>
  <c r="V82" i="4"/>
  <c r="V83" i="4"/>
  <c r="V85" i="4"/>
  <c r="V87" i="4"/>
  <c r="V88" i="4"/>
  <c r="V89" i="4"/>
  <c r="V91" i="4"/>
  <c r="V93" i="4"/>
  <c r="V94" i="4"/>
  <c r="V95" i="4"/>
  <c r="V96" i="4"/>
  <c r="V97" i="4"/>
  <c r="V98" i="4"/>
  <c r="V100" i="4"/>
  <c r="V101" i="4"/>
  <c r="V102" i="4"/>
  <c r="V103" i="4"/>
  <c r="V105" i="4"/>
  <c r="V107" i="4"/>
  <c r="V108" i="4"/>
  <c r="V110" i="4"/>
  <c r="V114" i="4"/>
  <c r="V115" i="4"/>
  <c r="V116" i="4"/>
  <c r="V117" i="4"/>
  <c r="V118" i="4"/>
  <c r="V120" i="4"/>
  <c r="V121" i="4"/>
  <c r="T9" i="4"/>
  <c r="T10" i="4"/>
  <c r="T14" i="4"/>
  <c r="T15" i="4"/>
  <c r="T16" i="4"/>
  <c r="T19" i="4"/>
  <c r="T20" i="4"/>
  <c r="T21" i="4"/>
  <c r="T24" i="4"/>
  <c r="T25" i="4"/>
  <c r="T26" i="4"/>
  <c r="T27" i="4"/>
  <c r="T28" i="4"/>
  <c r="T29" i="4"/>
  <c r="T32" i="4"/>
  <c r="T33" i="4"/>
  <c r="T34" i="4"/>
  <c r="T37" i="4"/>
  <c r="T38" i="4"/>
  <c r="T41" i="4"/>
  <c r="T42" i="4"/>
  <c r="T45" i="4"/>
  <c r="T49" i="4"/>
  <c r="T50" i="4"/>
  <c r="T52" i="4"/>
  <c r="T53" i="4"/>
  <c r="T56" i="4"/>
  <c r="T57" i="4"/>
  <c r="T61" i="4"/>
  <c r="T62" i="4"/>
  <c r="T63" i="4"/>
  <c r="T66" i="4"/>
  <c r="T67" i="4"/>
  <c r="T68" i="4"/>
  <c r="T71" i="4"/>
  <c r="T72" i="4"/>
  <c r="T73" i="4"/>
  <c r="T77" i="4"/>
  <c r="T79" i="4"/>
  <c r="T80" i="4"/>
  <c r="T81" i="4"/>
  <c r="T82" i="4"/>
  <c r="T83" i="4"/>
  <c r="T85" i="4"/>
  <c r="T87" i="4"/>
  <c r="T88" i="4"/>
  <c r="T89" i="4"/>
  <c r="T91" i="4"/>
  <c r="T93" i="4"/>
  <c r="T94" i="4"/>
  <c r="T95" i="4"/>
  <c r="T96" i="4"/>
  <c r="T97" i="4"/>
  <c r="T98" i="4"/>
  <c r="T100" i="4"/>
  <c r="T101" i="4"/>
  <c r="T102" i="4"/>
  <c r="T103" i="4"/>
  <c r="T105" i="4"/>
  <c r="T107" i="4"/>
  <c r="T108" i="4"/>
  <c r="T110" i="4"/>
  <c r="T114" i="4"/>
  <c r="T115" i="4"/>
  <c r="T116" i="4"/>
  <c r="T117" i="4"/>
  <c r="T118" i="4"/>
  <c r="T120" i="4"/>
  <c r="T121" i="4"/>
  <c r="X8" i="4"/>
  <c r="V8" i="4"/>
  <c r="T8" i="4"/>
  <c r="R9" i="4"/>
  <c r="R10" i="4"/>
  <c r="R14" i="4"/>
  <c r="R15" i="4"/>
  <c r="R16" i="4"/>
  <c r="R19" i="4"/>
  <c r="R20" i="4"/>
  <c r="R21" i="4"/>
  <c r="R24" i="4"/>
  <c r="R25" i="4"/>
  <c r="R26" i="4"/>
  <c r="R27" i="4"/>
  <c r="R28" i="4"/>
  <c r="R29" i="4"/>
  <c r="R32" i="4"/>
  <c r="R33" i="4"/>
  <c r="R34" i="4"/>
  <c r="R37" i="4"/>
  <c r="R38" i="4"/>
  <c r="R41" i="4"/>
  <c r="R42" i="4"/>
  <c r="R45" i="4"/>
  <c r="R49" i="4"/>
  <c r="R50" i="4"/>
  <c r="R52" i="4"/>
  <c r="R53" i="4"/>
  <c r="R56" i="4"/>
  <c r="R57" i="4"/>
  <c r="R61" i="4"/>
  <c r="R62" i="4"/>
  <c r="R63" i="4"/>
  <c r="R66" i="4"/>
  <c r="R67" i="4"/>
  <c r="R68" i="4"/>
  <c r="R71" i="4"/>
  <c r="R72" i="4"/>
  <c r="R73" i="4"/>
  <c r="R77" i="4"/>
  <c r="R79" i="4"/>
  <c r="R80" i="4"/>
  <c r="R81" i="4"/>
  <c r="R82" i="4"/>
  <c r="R83" i="4"/>
  <c r="R85" i="4"/>
  <c r="R87" i="4"/>
  <c r="R88" i="4"/>
  <c r="R89" i="4"/>
  <c r="R91" i="4"/>
  <c r="R93" i="4"/>
  <c r="R94" i="4"/>
  <c r="R95" i="4"/>
  <c r="R96" i="4"/>
  <c r="R97" i="4"/>
  <c r="R98" i="4"/>
  <c r="R100" i="4"/>
  <c r="R101" i="4"/>
  <c r="R102" i="4"/>
  <c r="R103" i="4"/>
  <c r="R105" i="4"/>
  <c r="R107" i="4"/>
  <c r="R108" i="4"/>
  <c r="R110" i="4"/>
  <c r="R114" i="4"/>
  <c r="R115" i="4"/>
  <c r="R116" i="4"/>
  <c r="R117" i="4"/>
  <c r="R118" i="4"/>
  <c r="R120" i="4"/>
  <c r="R121" i="4"/>
  <c r="P9" i="4"/>
  <c r="P10" i="4"/>
  <c r="P14" i="4"/>
  <c r="P15" i="4"/>
  <c r="P16" i="4"/>
  <c r="P19" i="4"/>
  <c r="P20" i="4"/>
  <c r="P21" i="4"/>
  <c r="P24" i="4"/>
  <c r="P25" i="4"/>
  <c r="P26" i="4"/>
  <c r="P27" i="4"/>
  <c r="P28" i="4"/>
  <c r="P29" i="4"/>
  <c r="P32" i="4"/>
  <c r="P33" i="4"/>
  <c r="P34" i="4"/>
  <c r="P37" i="4"/>
  <c r="P38" i="4"/>
  <c r="P41" i="4"/>
  <c r="P42" i="4"/>
  <c r="P45" i="4"/>
  <c r="P49" i="4"/>
  <c r="P50" i="4"/>
  <c r="AA50" i="4" s="1"/>
  <c r="P52" i="4"/>
  <c r="P53" i="4"/>
  <c r="P56" i="4"/>
  <c r="P57" i="4"/>
  <c r="P61" i="4"/>
  <c r="P62" i="4"/>
  <c r="P63" i="4"/>
  <c r="P66" i="4"/>
  <c r="P67" i="4"/>
  <c r="P68" i="4"/>
  <c r="P71" i="4"/>
  <c r="P72" i="4"/>
  <c r="P73" i="4"/>
  <c r="P77" i="4"/>
  <c r="P79" i="4"/>
  <c r="P80" i="4"/>
  <c r="P81" i="4"/>
  <c r="P82" i="4"/>
  <c r="P83" i="4"/>
  <c r="P85" i="4"/>
  <c r="P87" i="4"/>
  <c r="P88" i="4"/>
  <c r="P89" i="4"/>
  <c r="P91" i="4"/>
  <c r="P93" i="4"/>
  <c r="P94" i="4"/>
  <c r="P95" i="4"/>
  <c r="P96" i="4"/>
  <c r="P97" i="4"/>
  <c r="P98" i="4"/>
  <c r="P100" i="4"/>
  <c r="P101" i="4"/>
  <c r="P102" i="4"/>
  <c r="P103" i="4"/>
  <c r="P105" i="4"/>
  <c r="P107" i="4"/>
  <c r="P108" i="4"/>
  <c r="P110" i="4"/>
  <c r="P114" i="4"/>
  <c r="P115" i="4"/>
  <c r="P116" i="4"/>
  <c r="P117" i="4"/>
  <c r="P118" i="4"/>
  <c r="P120" i="4"/>
  <c r="P121" i="4"/>
  <c r="R8" i="4"/>
  <c r="P8" i="4"/>
  <c r="N9" i="4"/>
  <c r="N10" i="4"/>
  <c r="N14" i="4"/>
  <c r="N15" i="4"/>
  <c r="N16" i="4"/>
  <c r="N19" i="4"/>
  <c r="N20" i="4"/>
  <c r="N21" i="4"/>
  <c r="N24" i="4"/>
  <c r="N25" i="4"/>
  <c r="N26" i="4"/>
  <c r="N27" i="4"/>
  <c r="N28" i="4"/>
  <c r="N29" i="4"/>
  <c r="N32" i="4"/>
  <c r="N33" i="4"/>
  <c r="N34" i="4"/>
  <c r="N37" i="4"/>
  <c r="N38" i="4"/>
  <c r="N41" i="4"/>
  <c r="N42" i="4"/>
  <c r="N45" i="4"/>
  <c r="N49" i="4"/>
  <c r="N50" i="4"/>
  <c r="N52" i="4"/>
  <c r="N53" i="4"/>
  <c r="N56" i="4"/>
  <c r="N57" i="4"/>
  <c r="N61" i="4"/>
  <c r="N62" i="4"/>
  <c r="N63" i="4"/>
  <c r="N66" i="4"/>
  <c r="N67" i="4"/>
  <c r="N68" i="4"/>
  <c r="N71" i="4"/>
  <c r="N72" i="4"/>
  <c r="N73" i="4"/>
  <c r="N77" i="4"/>
  <c r="N79" i="4"/>
  <c r="N80" i="4"/>
  <c r="N81" i="4"/>
  <c r="N82" i="4"/>
  <c r="N83" i="4"/>
  <c r="N85" i="4"/>
  <c r="N87" i="4"/>
  <c r="N88" i="4"/>
  <c r="N89" i="4"/>
  <c r="N91" i="4"/>
  <c r="N93" i="4"/>
  <c r="N94" i="4"/>
  <c r="N95" i="4"/>
  <c r="N96" i="4"/>
  <c r="N97" i="4"/>
  <c r="N98" i="4"/>
  <c r="N100" i="4"/>
  <c r="N101" i="4"/>
  <c r="N102" i="4"/>
  <c r="N103" i="4"/>
  <c r="N105" i="4"/>
  <c r="N107" i="4"/>
  <c r="N108" i="4"/>
  <c r="N110" i="4"/>
  <c r="N114" i="4"/>
  <c r="N115" i="4"/>
  <c r="N116" i="4"/>
  <c r="N117" i="4"/>
  <c r="N118" i="4"/>
  <c r="N120" i="4"/>
  <c r="N121" i="4"/>
  <c r="L9" i="4"/>
  <c r="L10" i="4"/>
  <c r="L14" i="4"/>
  <c r="L15" i="4"/>
  <c r="L16" i="4"/>
  <c r="L19" i="4"/>
  <c r="L20" i="4"/>
  <c r="L21" i="4"/>
  <c r="L24" i="4"/>
  <c r="L25" i="4"/>
  <c r="L26" i="4"/>
  <c r="L27" i="4"/>
  <c r="L28" i="4"/>
  <c r="L29" i="4"/>
  <c r="L32" i="4"/>
  <c r="L33" i="4"/>
  <c r="L34" i="4"/>
  <c r="L37" i="4"/>
  <c r="L38" i="4"/>
  <c r="L41" i="4"/>
  <c r="L42" i="4"/>
  <c r="L45" i="4"/>
  <c r="L49" i="4"/>
  <c r="L50" i="4"/>
  <c r="L52" i="4"/>
  <c r="L53" i="4"/>
  <c r="L56" i="4"/>
  <c r="L57" i="4"/>
  <c r="L61" i="4"/>
  <c r="L62" i="4"/>
  <c r="L63" i="4"/>
  <c r="L66" i="4"/>
  <c r="L67" i="4"/>
  <c r="L68" i="4"/>
  <c r="L71" i="4"/>
  <c r="L72" i="4"/>
  <c r="L73" i="4"/>
  <c r="L77" i="4"/>
  <c r="L79" i="4"/>
  <c r="L80" i="4"/>
  <c r="L81" i="4"/>
  <c r="L82" i="4"/>
  <c r="L83" i="4"/>
  <c r="L85" i="4"/>
  <c r="L87" i="4"/>
  <c r="L88" i="4"/>
  <c r="L89" i="4"/>
  <c r="L91" i="4"/>
  <c r="L93" i="4"/>
  <c r="L94" i="4"/>
  <c r="L95" i="4"/>
  <c r="L96" i="4"/>
  <c r="L97" i="4"/>
  <c r="L98" i="4"/>
  <c r="L100" i="4"/>
  <c r="L101" i="4"/>
  <c r="L102" i="4"/>
  <c r="L103" i="4"/>
  <c r="L105" i="4"/>
  <c r="L107" i="4"/>
  <c r="L108" i="4"/>
  <c r="L110" i="4"/>
  <c r="L114" i="4"/>
  <c r="L115" i="4"/>
  <c r="L116" i="4"/>
  <c r="L117" i="4"/>
  <c r="L118" i="4"/>
  <c r="L120" i="4"/>
  <c r="L121" i="4"/>
  <c r="N8" i="4"/>
  <c r="L8" i="4"/>
  <c r="J9" i="4"/>
  <c r="J10" i="4"/>
  <c r="J14" i="4"/>
  <c r="J15" i="4"/>
  <c r="J16" i="4"/>
  <c r="J19" i="4"/>
  <c r="J20" i="4"/>
  <c r="J21" i="4"/>
  <c r="J24" i="4"/>
  <c r="J25" i="4"/>
  <c r="J26" i="4"/>
  <c r="J27" i="4"/>
  <c r="J28" i="4"/>
  <c r="J29" i="4"/>
  <c r="J32" i="4"/>
  <c r="J33" i="4"/>
  <c r="J34" i="4"/>
  <c r="J37" i="4"/>
  <c r="J38" i="4"/>
  <c r="J41" i="4"/>
  <c r="J42" i="4"/>
  <c r="J45" i="4"/>
  <c r="J49" i="4"/>
  <c r="J50" i="4"/>
  <c r="J52" i="4"/>
  <c r="J53" i="4"/>
  <c r="J56" i="4"/>
  <c r="J57" i="4"/>
  <c r="J61" i="4"/>
  <c r="J62" i="4"/>
  <c r="J63" i="4"/>
  <c r="J66" i="4"/>
  <c r="J67" i="4"/>
  <c r="J68" i="4"/>
  <c r="J71" i="4"/>
  <c r="J72" i="4"/>
  <c r="J73" i="4"/>
  <c r="J77" i="4"/>
  <c r="J79" i="4"/>
  <c r="J80" i="4"/>
  <c r="J81" i="4"/>
  <c r="J82" i="4"/>
  <c r="J83" i="4"/>
  <c r="J85" i="4"/>
  <c r="J87" i="4"/>
  <c r="J88" i="4"/>
  <c r="J89" i="4"/>
  <c r="J91" i="4"/>
  <c r="J93" i="4"/>
  <c r="J94" i="4"/>
  <c r="J95" i="4"/>
  <c r="J96" i="4"/>
  <c r="J97" i="4"/>
  <c r="J98" i="4"/>
  <c r="J100" i="4"/>
  <c r="J101" i="4"/>
  <c r="J102" i="4"/>
  <c r="J103" i="4"/>
  <c r="J105" i="4"/>
  <c r="J107" i="4"/>
  <c r="J108" i="4"/>
  <c r="J109" i="4"/>
  <c r="J110" i="4"/>
  <c r="J114" i="4"/>
  <c r="J115" i="4"/>
  <c r="J116" i="4"/>
  <c r="J117" i="4"/>
  <c r="J118" i="4"/>
  <c r="J120" i="4"/>
  <c r="J121" i="4"/>
  <c r="J8" i="4"/>
  <c r="H8" i="4"/>
  <c r="H9" i="4"/>
  <c r="H10" i="4"/>
  <c r="H14" i="4"/>
  <c r="H15" i="4"/>
  <c r="H16" i="4"/>
  <c r="H19" i="4"/>
  <c r="H20" i="4"/>
  <c r="H21" i="4"/>
  <c r="H24" i="4"/>
  <c r="H25" i="4"/>
  <c r="H26" i="4"/>
  <c r="H27" i="4"/>
  <c r="H28" i="4"/>
  <c r="H29" i="4"/>
  <c r="H32" i="4"/>
  <c r="H33" i="4"/>
  <c r="H34" i="4"/>
  <c r="H37" i="4"/>
  <c r="H38" i="4"/>
  <c r="H41" i="4"/>
  <c r="H42" i="4"/>
  <c r="H45" i="4"/>
  <c r="H49" i="4"/>
  <c r="H50" i="4"/>
  <c r="H52" i="4"/>
  <c r="H53" i="4"/>
  <c r="H56" i="4"/>
  <c r="H57" i="4"/>
  <c r="H61" i="4"/>
  <c r="H62" i="4"/>
  <c r="H63" i="4"/>
  <c r="H66" i="4"/>
  <c r="H67" i="4"/>
  <c r="H68" i="4"/>
  <c r="H71" i="4"/>
  <c r="H72" i="4"/>
  <c r="H73" i="4"/>
  <c r="H77" i="4"/>
  <c r="H79" i="4"/>
  <c r="H80" i="4"/>
  <c r="H81" i="4"/>
  <c r="H82" i="4"/>
  <c r="H83" i="4"/>
  <c r="H85" i="4"/>
  <c r="H87" i="4"/>
  <c r="H88" i="4"/>
  <c r="H89" i="4"/>
  <c r="H91" i="4"/>
  <c r="H93" i="4"/>
  <c r="H94" i="4"/>
  <c r="H95" i="4"/>
  <c r="H96" i="4"/>
  <c r="H97" i="4"/>
  <c r="H98" i="4"/>
  <c r="H100" i="4"/>
  <c r="H101" i="4"/>
  <c r="H102" i="4"/>
  <c r="H103" i="4"/>
  <c r="H105" i="4"/>
  <c r="H107" i="4"/>
  <c r="H108" i="4"/>
  <c r="AA108" i="4" s="1"/>
  <c r="H110" i="4"/>
  <c r="H114" i="4"/>
  <c r="H115" i="4"/>
  <c r="H116" i="4"/>
  <c r="H117" i="4"/>
  <c r="H118" i="4"/>
  <c r="H120" i="4"/>
  <c r="H121" i="4"/>
  <c r="F9" i="4"/>
  <c r="F10" i="4"/>
  <c r="F14" i="4"/>
  <c r="F15" i="4"/>
  <c r="F16" i="4"/>
  <c r="F19" i="4"/>
  <c r="F20" i="4"/>
  <c r="F21" i="4"/>
  <c r="F24" i="4"/>
  <c r="F25" i="4"/>
  <c r="F26" i="4"/>
  <c r="F27" i="4"/>
  <c r="F28" i="4"/>
  <c r="F29" i="4"/>
  <c r="F32" i="4"/>
  <c r="F33" i="4"/>
  <c r="F34" i="4"/>
  <c r="F37" i="4"/>
  <c r="F38" i="4"/>
  <c r="F41" i="4"/>
  <c r="F42" i="4"/>
  <c r="F45" i="4"/>
  <c r="F49" i="4"/>
  <c r="F50" i="4"/>
  <c r="F52" i="4"/>
  <c r="F53" i="4"/>
  <c r="F56" i="4"/>
  <c r="F57" i="4"/>
  <c r="F61" i="4"/>
  <c r="F62" i="4"/>
  <c r="F63" i="4"/>
  <c r="F66" i="4"/>
  <c r="F67" i="4"/>
  <c r="F68" i="4"/>
  <c r="F71" i="4"/>
  <c r="F72" i="4"/>
  <c r="F73" i="4"/>
  <c r="F77" i="4"/>
  <c r="F79" i="4"/>
  <c r="F80" i="4"/>
  <c r="F81" i="4"/>
  <c r="F82" i="4"/>
  <c r="F83" i="4"/>
  <c r="F85" i="4"/>
  <c r="F87" i="4"/>
  <c r="F88" i="4"/>
  <c r="F89" i="4"/>
  <c r="F91" i="4"/>
  <c r="F93" i="4"/>
  <c r="F94" i="4"/>
  <c r="F95" i="4"/>
  <c r="F96" i="4"/>
  <c r="F97" i="4"/>
  <c r="F98" i="4"/>
  <c r="F100" i="4"/>
  <c r="F101" i="4"/>
  <c r="F102" i="4"/>
  <c r="F103" i="4"/>
  <c r="F105" i="4"/>
  <c r="F107" i="4"/>
  <c r="F108" i="4"/>
  <c r="F110" i="4"/>
  <c r="F114" i="4"/>
  <c r="F115" i="4"/>
  <c r="F116" i="4"/>
  <c r="F117" i="4"/>
  <c r="F118" i="4"/>
  <c r="F120" i="4"/>
  <c r="F121" i="4"/>
  <c r="F8" i="4"/>
  <c r="D121" i="4"/>
  <c r="D120" i="4"/>
  <c r="D118" i="4"/>
  <c r="D117" i="4"/>
  <c r="D116" i="4"/>
  <c r="D115" i="4"/>
  <c r="D114" i="4"/>
  <c r="D110" i="4"/>
  <c r="D108" i="4"/>
  <c r="D107" i="4"/>
  <c r="D105" i="4"/>
  <c r="D103" i="4"/>
  <c r="D102" i="4"/>
  <c r="D101" i="4"/>
  <c r="D100" i="4"/>
  <c r="D98" i="4"/>
  <c r="D97" i="4"/>
  <c r="D96" i="4"/>
  <c r="D95" i="4"/>
  <c r="D94" i="4"/>
  <c r="D93" i="4"/>
  <c r="D91" i="4"/>
  <c r="D89" i="4"/>
  <c r="D88" i="4"/>
  <c r="D87" i="4"/>
  <c r="D85" i="4"/>
  <c r="D83" i="4"/>
  <c r="D82" i="4"/>
  <c r="D81" i="4"/>
  <c r="D80" i="4"/>
  <c r="D79" i="4"/>
  <c r="D77" i="4"/>
  <c r="D73" i="4"/>
  <c r="D72" i="4"/>
  <c r="D71" i="4"/>
  <c r="D68" i="4"/>
  <c r="D67" i="4"/>
  <c r="D66" i="4"/>
  <c r="D63" i="4"/>
  <c r="D62" i="4"/>
  <c r="D61" i="4"/>
  <c r="D57" i="4"/>
  <c r="D56" i="4"/>
  <c r="D53" i="4"/>
  <c r="D52" i="4"/>
  <c r="D50" i="4"/>
  <c r="D49" i="4"/>
  <c r="D45" i="4"/>
  <c r="D44" i="4"/>
  <c r="D42" i="4"/>
  <c r="D41" i="4"/>
  <c r="D38" i="4"/>
  <c r="D37" i="4"/>
  <c r="D34" i="4"/>
  <c r="AA34" i="4" s="1"/>
  <c r="D33" i="4"/>
  <c r="D32" i="4"/>
  <c r="D29" i="4"/>
  <c r="D28" i="4"/>
  <c r="D27" i="4"/>
  <c r="D26" i="4"/>
  <c r="D25" i="4"/>
  <c r="D24" i="4"/>
  <c r="D21" i="4"/>
  <c r="D20" i="4"/>
  <c r="D19" i="4"/>
  <c r="D16" i="4"/>
  <c r="D15" i="4"/>
  <c r="D14" i="4"/>
  <c r="D10" i="4"/>
  <c r="D9" i="4"/>
  <c r="D8" i="4"/>
  <c r="B9" i="4"/>
  <c r="B10" i="4"/>
  <c r="B14" i="4"/>
  <c r="B15" i="4"/>
  <c r="B16" i="4"/>
  <c r="B19" i="4"/>
  <c r="B20" i="4"/>
  <c r="B21" i="4"/>
  <c r="B24" i="4"/>
  <c r="B25" i="4"/>
  <c r="B26" i="4"/>
  <c r="B27" i="4"/>
  <c r="B28" i="4"/>
  <c r="B29" i="4"/>
  <c r="B32" i="4"/>
  <c r="B33" i="4"/>
  <c r="B34" i="4"/>
  <c r="B37" i="4"/>
  <c r="B38" i="4"/>
  <c r="B39" i="4"/>
  <c r="B41" i="4"/>
  <c r="B42" i="4"/>
  <c r="B45" i="4"/>
  <c r="B49" i="4"/>
  <c r="B50" i="4"/>
  <c r="B52" i="4"/>
  <c r="B53" i="4"/>
  <c r="B56" i="4"/>
  <c r="B57" i="4"/>
  <c r="B61" i="4"/>
  <c r="B62" i="4"/>
  <c r="B63" i="4"/>
  <c r="AA63" i="4" s="1"/>
  <c r="B66" i="4"/>
  <c r="B67" i="4"/>
  <c r="AA67" i="4" s="1"/>
  <c r="B68" i="4"/>
  <c r="B71" i="4"/>
  <c r="B72" i="4"/>
  <c r="B73" i="4"/>
  <c r="B77" i="4"/>
  <c r="B79" i="4"/>
  <c r="B80" i="4"/>
  <c r="B81" i="4"/>
  <c r="B82" i="4"/>
  <c r="AA82" i="4" s="1"/>
  <c r="B83" i="4"/>
  <c r="AA83" i="4" s="1"/>
  <c r="B85" i="4"/>
  <c r="B87" i="4"/>
  <c r="B88" i="4"/>
  <c r="B89" i="4"/>
  <c r="B91" i="4"/>
  <c r="B93" i="4"/>
  <c r="B94" i="4"/>
  <c r="AA94" i="4" s="1"/>
  <c r="B95" i="4"/>
  <c r="AA95" i="4" s="1"/>
  <c r="B96" i="4"/>
  <c r="AA96" i="4" s="1"/>
  <c r="B97" i="4"/>
  <c r="B98" i="4"/>
  <c r="B100" i="4"/>
  <c r="AA100" i="4" s="1"/>
  <c r="B101" i="4"/>
  <c r="B102" i="4"/>
  <c r="B103" i="4"/>
  <c r="B105" i="4"/>
  <c r="B107" i="4"/>
  <c r="B108" i="4"/>
  <c r="B110" i="4"/>
  <c r="B114" i="4"/>
  <c r="B115" i="4"/>
  <c r="B116" i="4"/>
  <c r="B117" i="4"/>
  <c r="B118" i="4"/>
  <c r="AA118" i="4" s="1"/>
  <c r="B120" i="4"/>
  <c r="B121" i="4"/>
  <c r="B8" i="4"/>
  <c r="Z122" i="4"/>
  <c r="P122" i="4" s="1"/>
  <c r="Z109" i="4"/>
  <c r="P109" i="4" s="1"/>
  <c r="Z104" i="4"/>
  <c r="V104" i="4" s="1"/>
  <c r="Z92" i="4"/>
  <c r="R92" i="4" s="1"/>
  <c r="Z86" i="4"/>
  <c r="B86" i="4" s="1"/>
  <c r="Z74" i="4"/>
  <c r="B74" i="4" s="1"/>
  <c r="Z69" i="4"/>
  <c r="X69" i="4" s="1"/>
  <c r="Z64" i="4"/>
  <c r="T64" i="4" s="1"/>
  <c r="Z58" i="4"/>
  <c r="X58" i="4" s="1"/>
  <c r="Z51" i="4"/>
  <c r="Z54" i="4" s="1"/>
  <c r="F54" i="4" s="1"/>
  <c r="Z46" i="4"/>
  <c r="V46" i="4" s="1"/>
  <c r="Z43" i="4"/>
  <c r="B43" i="4" s="1"/>
  <c r="Z39" i="4"/>
  <c r="F39" i="4" s="1"/>
  <c r="Z35" i="4"/>
  <c r="D35" i="4" s="1"/>
  <c r="Z30" i="4"/>
  <c r="V30" i="4" s="1"/>
  <c r="Z22" i="4"/>
  <c r="L22" i="4" s="1"/>
  <c r="Z17" i="4"/>
  <c r="R17" i="4" s="1"/>
  <c r="Z11" i="4"/>
  <c r="B11" i="4" s="1"/>
  <c r="AB9" i="4"/>
  <c r="AB10" i="4"/>
  <c r="AB11" i="4"/>
  <c r="AB14" i="4"/>
  <c r="AB15" i="4"/>
  <c r="AB16" i="4"/>
  <c r="AB17" i="4"/>
  <c r="AB20" i="4"/>
  <c r="AB21" i="4"/>
  <c r="AB22" i="4"/>
  <c r="AB24" i="4"/>
  <c r="AB25" i="4"/>
  <c r="AB26" i="4"/>
  <c r="AB27" i="4"/>
  <c r="AB30" i="4"/>
  <c r="AB32" i="4"/>
  <c r="AB33" i="4"/>
  <c r="AB34" i="4"/>
  <c r="AB35" i="4"/>
  <c r="AB37" i="4"/>
  <c r="AB38" i="4"/>
  <c r="AB39" i="4"/>
  <c r="AB41" i="4"/>
  <c r="AB42" i="4"/>
  <c r="AB43" i="4"/>
  <c r="AB45" i="4"/>
  <c r="AB46" i="4"/>
  <c r="AB47" i="4"/>
  <c r="AB49" i="4"/>
  <c r="AB50" i="4"/>
  <c r="AB51" i="4"/>
  <c r="AB52" i="4"/>
  <c r="AB53" i="4"/>
  <c r="AB54" i="4"/>
  <c r="AB57" i="4"/>
  <c r="AB58" i="4"/>
  <c r="AB61" i="4"/>
  <c r="AB62" i="4"/>
  <c r="AB63" i="4"/>
  <c r="AB64" i="4"/>
  <c r="AB66" i="4"/>
  <c r="AB67" i="4"/>
  <c r="AB68" i="4"/>
  <c r="AB69" i="4"/>
  <c r="AB72" i="4"/>
  <c r="AB73" i="4"/>
  <c r="AB74" i="4"/>
  <c r="AB75" i="4"/>
  <c r="AB76" i="4"/>
  <c r="AB77" i="4"/>
  <c r="AB79" i="4"/>
  <c r="AB80" i="4"/>
  <c r="AB81" i="4"/>
  <c r="AB82" i="4"/>
  <c r="AB83" i="4"/>
  <c r="AB85" i="4"/>
  <c r="AB86" i="4"/>
  <c r="AB87" i="4"/>
  <c r="AB88" i="4"/>
  <c r="AB89" i="4"/>
  <c r="AB91" i="4"/>
  <c r="AB92" i="4"/>
  <c r="AB93" i="4"/>
  <c r="AB94" i="4"/>
  <c r="AB95" i="4"/>
  <c r="AB96" i="4"/>
  <c r="AB97" i="4"/>
  <c r="AB98" i="4"/>
  <c r="AB100" i="4"/>
  <c r="AB101" i="4"/>
  <c r="AB102" i="4"/>
  <c r="AB103" i="4"/>
  <c r="AB104" i="4"/>
  <c r="AB105" i="4"/>
  <c r="AB107" i="4"/>
  <c r="AB108" i="4"/>
  <c r="AB109" i="4"/>
  <c r="AB110" i="4"/>
  <c r="AB111" i="4"/>
  <c r="AB112" i="4"/>
  <c r="AB114" i="4"/>
  <c r="AB115" i="4"/>
  <c r="AB116" i="4"/>
  <c r="AB117" i="4"/>
  <c r="AB118" i="4"/>
  <c r="AB120" i="4"/>
  <c r="AB121" i="4"/>
  <c r="AB122" i="4"/>
  <c r="AB123" i="4"/>
  <c r="AB8" i="4"/>
  <c r="B8" i="3"/>
  <c r="X116" i="3"/>
  <c r="V116" i="3"/>
  <c r="T116" i="3"/>
  <c r="R116" i="3"/>
  <c r="P116" i="3"/>
  <c r="N116" i="3"/>
  <c r="L116" i="3"/>
  <c r="J116" i="3"/>
  <c r="H116" i="3"/>
  <c r="F116" i="3"/>
  <c r="D116" i="3"/>
  <c r="P115" i="3"/>
  <c r="D115" i="3"/>
  <c r="B115" i="3"/>
  <c r="Y114" i="3"/>
  <c r="W114" i="3"/>
  <c r="U114" i="3"/>
  <c r="S114" i="3"/>
  <c r="Q114" i="3"/>
  <c r="O114" i="3"/>
  <c r="M114" i="3"/>
  <c r="K114" i="3"/>
  <c r="I114" i="3"/>
  <c r="G114" i="3"/>
  <c r="E114" i="3"/>
  <c r="C114" i="3"/>
  <c r="AA114" i="3" s="1"/>
  <c r="R113" i="3"/>
  <c r="L113" i="3"/>
  <c r="L117" i="3" s="1"/>
  <c r="N112" i="3"/>
  <c r="J112" i="3"/>
  <c r="H112" i="3"/>
  <c r="F112" i="3"/>
  <c r="D112" i="3"/>
  <c r="B112" i="3"/>
  <c r="X111" i="3"/>
  <c r="X113" i="3" s="1"/>
  <c r="V111" i="3"/>
  <c r="T111" i="3"/>
  <c r="R111" i="3"/>
  <c r="P111" i="3"/>
  <c r="N111" i="3"/>
  <c r="L111" i="3"/>
  <c r="J111" i="3"/>
  <c r="H111" i="3"/>
  <c r="F111" i="3"/>
  <c r="D111" i="3"/>
  <c r="B111" i="3"/>
  <c r="X110" i="3"/>
  <c r="V110" i="3"/>
  <c r="V113" i="3" s="1"/>
  <c r="T110" i="3"/>
  <c r="R110" i="3"/>
  <c r="P110" i="3"/>
  <c r="N110" i="3"/>
  <c r="L110" i="3"/>
  <c r="J110" i="3"/>
  <c r="H110" i="3"/>
  <c r="F110" i="3"/>
  <c r="D110" i="3"/>
  <c r="B110" i="3"/>
  <c r="B113" i="3" s="1"/>
  <c r="H109" i="3"/>
  <c r="Y108" i="3"/>
  <c r="W108" i="3"/>
  <c r="U108" i="3"/>
  <c r="S108" i="3"/>
  <c r="Q108" i="3"/>
  <c r="O108" i="3"/>
  <c r="M108" i="3"/>
  <c r="K108" i="3"/>
  <c r="I108" i="3"/>
  <c r="G108" i="3"/>
  <c r="E108" i="3"/>
  <c r="C108" i="3"/>
  <c r="X105" i="3"/>
  <c r="T105" i="3"/>
  <c r="R105" i="3"/>
  <c r="P105" i="3"/>
  <c r="N105" i="3"/>
  <c r="L105" i="3"/>
  <c r="J105" i="3"/>
  <c r="H105" i="3"/>
  <c r="F105" i="3"/>
  <c r="D105" i="3"/>
  <c r="B105" i="3"/>
  <c r="X104" i="3"/>
  <c r="V104" i="3"/>
  <c r="J104" i="3"/>
  <c r="X103" i="3"/>
  <c r="V103" i="3"/>
  <c r="T103" i="3"/>
  <c r="R103" i="3"/>
  <c r="P103" i="3"/>
  <c r="N103" i="3"/>
  <c r="L103" i="3"/>
  <c r="J103" i="3"/>
  <c r="H103" i="3"/>
  <c r="F103" i="3"/>
  <c r="D103" i="3"/>
  <c r="B103" i="3"/>
  <c r="X102" i="3"/>
  <c r="V102" i="3"/>
  <c r="T102" i="3"/>
  <c r="T104" i="3" s="1"/>
  <c r="R102" i="3"/>
  <c r="P102" i="3"/>
  <c r="N102" i="3"/>
  <c r="L102" i="3"/>
  <c r="J102" i="3"/>
  <c r="H102" i="3"/>
  <c r="F102" i="3"/>
  <c r="F104" i="3" s="1"/>
  <c r="D102" i="3"/>
  <c r="B102" i="3"/>
  <c r="Z101" i="3"/>
  <c r="W101" i="3" s="1"/>
  <c r="Y101" i="3"/>
  <c r="U101" i="3"/>
  <c r="S101" i="3"/>
  <c r="Q101" i="3"/>
  <c r="O101" i="3"/>
  <c r="M101" i="3"/>
  <c r="K101" i="3"/>
  <c r="I101" i="3"/>
  <c r="G101" i="3"/>
  <c r="E101" i="3"/>
  <c r="C101" i="3"/>
  <c r="X100" i="3"/>
  <c r="V100" i="3"/>
  <c r="T100" i="3"/>
  <c r="R100" i="3"/>
  <c r="P100" i="3"/>
  <c r="N100" i="3"/>
  <c r="L100" i="3"/>
  <c r="J100" i="3"/>
  <c r="H100" i="3"/>
  <c r="F100" i="3"/>
  <c r="D100" i="3"/>
  <c r="B100" i="3"/>
  <c r="B99" i="3"/>
  <c r="V98" i="3"/>
  <c r="L98" i="3"/>
  <c r="F98" i="3"/>
  <c r="B98" i="3"/>
  <c r="X97" i="3"/>
  <c r="V97" i="3"/>
  <c r="T97" i="3"/>
  <c r="R97" i="3"/>
  <c r="P97" i="3"/>
  <c r="N97" i="3"/>
  <c r="L97" i="3"/>
  <c r="J97" i="3"/>
  <c r="H97" i="3"/>
  <c r="H99" i="3" s="1"/>
  <c r="F97" i="3"/>
  <c r="D97" i="3"/>
  <c r="B97" i="3"/>
  <c r="Z97" i="3" s="1"/>
  <c r="X96" i="3"/>
  <c r="X99" i="3" s="1"/>
  <c r="V96" i="3"/>
  <c r="T96" i="3"/>
  <c r="R96" i="3"/>
  <c r="P96" i="3"/>
  <c r="N96" i="3"/>
  <c r="L96" i="3"/>
  <c r="J96" i="3"/>
  <c r="H96" i="3"/>
  <c r="F96" i="3"/>
  <c r="B96" i="3"/>
  <c r="X95" i="3"/>
  <c r="V95" i="3"/>
  <c r="T95" i="3"/>
  <c r="R95" i="3"/>
  <c r="R99" i="3" s="1"/>
  <c r="P95" i="3"/>
  <c r="N95" i="3"/>
  <c r="N99" i="3" s="1"/>
  <c r="L95" i="3"/>
  <c r="L99" i="3" s="1"/>
  <c r="J95" i="3"/>
  <c r="H95" i="3"/>
  <c r="F95" i="3"/>
  <c r="F99" i="3" s="1"/>
  <c r="D95" i="3"/>
  <c r="B95" i="3"/>
  <c r="Z94" i="3"/>
  <c r="Y94" i="3"/>
  <c r="U94" i="3"/>
  <c r="G94" i="3"/>
  <c r="C94" i="3"/>
  <c r="X93" i="3"/>
  <c r="V93" i="3"/>
  <c r="T93" i="3"/>
  <c r="R93" i="3"/>
  <c r="P93" i="3"/>
  <c r="N93" i="3"/>
  <c r="L93" i="3"/>
  <c r="J93" i="3"/>
  <c r="H93" i="3"/>
  <c r="X92" i="3"/>
  <c r="V92" i="3"/>
  <c r="T92" i="3"/>
  <c r="R92" i="3"/>
  <c r="P92" i="3"/>
  <c r="N92" i="3"/>
  <c r="L92" i="3"/>
  <c r="J92" i="3"/>
  <c r="H92" i="3"/>
  <c r="F92" i="3"/>
  <c r="D92" i="3"/>
  <c r="B92" i="3"/>
  <c r="Z91" i="3"/>
  <c r="X91" i="3"/>
  <c r="Y91" i="3" s="1"/>
  <c r="T91" i="3"/>
  <c r="U91" i="3" s="1"/>
  <c r="R91" i="3"/>
  <c r="P91" i="3"/>
  <c r="N91" i="3"/>
  <c r="L91" i="3"/>
  <c r="X90" i="3"/>
  <c r="V90" i="3"/>
  <c r="T90" i="3"/>
  <c r="R90" i="3"/>
  <c r="P90" i="3"/>
  <c r="N90" i="3"/>
  <c r="L90" i="3"/>
  <c r="J90" i="3"/>
  <c r="H90" i="3"/>
  <c r="F90" i="3"/>
  <c r="D90" i="3"/>
  <c r="B90" i="3"/>
  <c r="X89" i="3"/>
  <c r="V89" i="3"/>
  <c r="T89" i="3"/>
  <c r="R89" i="3"/>
  <c r="P89" i="3"/>
  <c r="N89" i="3"/>
  <c r="L89" i="3"/>
  <c r="J89" i="3"/>
  <c r="H89" i="3"/>
  <c r="F89" i="3"/>
  <c r="D89" i="3"/>
  <c r="B89" i="3"/>
  <c r="Z89" i="3" s="1"/>
  <c r="X88" i="3"/>
  <c r="V88" i="3"/>
  <c r="R88" i="3"/>
  <c r="P88" i="3"/>
  <c r="N88" i="3"/>
  <c r="L88" i="3"/>
  <c r="H88" i="3"/>
  <c r="F88" i="3"/>
  <c r="D88" i="3"/>
  <c r="B88" i="3"/>
  <c r="X87" i="3"/>
  <c r="V87" i="3"/>
  <c r="T87" i="3"/>
  <c r="R87" i="3"/>
  <c r="P87" i="3"/>
  <c r="N87" i="3"/>
  <c r="J87" i="3"/>
  <c r="H87" i="3"/>
  <c r="F87" i="3"/>
  <c r="D87" i="3"/>
  <c r="B87" i="3"/>
  <c r="Z86" i="3"/>
  <c r="I86" i="3" s="1"/>
  <c r="L86" i="3"/>
  <c r="Z85" i="3"/>
  <c r="E85" i="3" s="1"/>
  <c r="W85" i="3"/>
  <c r="U85" i="3"/>
  <c r="S85" i="3"/>
  <c r="Q85" i="3"/>
  <c r="O85" i="3"/>
  <c r="M85" i="3"/>
  <c r="K85" i="3"/>
  <c r="I85" i="3"/>
  <c r="G85" i="3"/>
  <c r="C85" i="3"/>
  <c r="X84" i="3"/>
  <c r="P84" i="3"/>
  <c r="N84" i="3"/>
  <c r="J84" i="3"/>
  <c r="H84" i="3"/>
  <c r="F84" i="3"/>
  <c r="D84" i="3"/>
  <c r="B84" i="3"/>
  <c r="N83" i="3"/>
  <c r="F83" i="3"/>
  <c r="D83" i="3"/>
  <c r="L82" i="3"/>
  <c r="J82" i="3"/>
  <c r="B82" i="3"/>
  <c r="V81" i="3"/>
  <c r="T81" i="3"/>
  <c r="P81" i="3"/>
  <c r="N81" i="3"/>
  <c r="F81" i="3"/>
  <c r="D81" i="3"/>
  <c r="B81" i="3"/>
  <c r="X80" i="3"/>
  <c r="V80" i="3"/>
  <c r="T80" i="3"/>
  <c r="R80" i="3"/>
  <c r="P80" i="3"/>
  <c r="N80" i="3"/>
  <c r="L80" i="3"/>
  <c r="J80" i="3"/>
  <c r="J81" i="3" s="1"/>
  <c r="H80" i="3"/>
  <c r="H81" i="3" s="1"/>
  <c r="AA79" i="3"/>
  <c r="Z79" i="3"/>
  <c r="W79" i="3" s="1"/>
  <c r="Y79" i="3"/>
  <c r="U79" i="3"/>
  <c r="S79" i="3"/>
  <c r="Q79" i="3"/>
  <c r="O79" i="3"/>
  <c r="M79" i="3"/>
  <c r="K79" i="3"/>
  <c r="I79" i="3"/>
  <c r="G79" i="3"/>
  <c r="E79" i="3"/>
  <c r="C79" i="3"/>
  <c r="X78" i="3"/>
  <c r="V78" i="3"/>
  <c r="T78" i="3"/>
  <c r="R78" i="3"/>
  <c r="P78" i="3"/>
  <c r="N78" i="3"/>
  <c r="L78" i="3"/>
  <c r="J78" i="3"/>
  <c r="H78" i="3"/>
  <c r="F78" i="3"/>
  <c r="D78" i="3"/>
  <c r="B78" i="3"/>
  <c r="X77" i="3"/>
  <c r="V77" i="3"/>
  <c r="T77" i="3"/>
  <c r="R77" i="3"/>
  <c r="P77" i="3"/>
  <c r="N77" i="3"/>
  <c r="L77" i="3"/>
  <c r="J77" i="3"/>
  <c r="H77" i="3"/>
  <c r="F77" i="3"/>
  <c r="D77" i="3"/>
  <c r="B77" i="3"/>
  <c r="Z76" i="3"/>
  <c r="Y76" i="3"/>
  <c r="W76" i="3"/>
  <c r="Q76" i="3"/>
  <c r="P76" i="3"/>
  <c r="K76" i="3"/>
  <c r="G76" i="3"/>
  <c r="D76" i="3"/>
  <c r="E76" i="3" s="1"/>
  <c r="C76" i="3"/>
  <c r="X75" i="3"/>
  <c r="V75" i="3"/>
  <c r="T75" i="3"/>
  <c r="R75" i="3"/>
  <c r="P75" i="3"/>
  <c r="N75" i="3"/>
  <c r="L75" i="3"/>
  <c r="J75" i="3"/>
  <c r="H75" i="3"/>
  <c r="F75" i="3"/>
  <c r="D75" i="3"/>
  <c r="B75" i="3"/>
  <c r="P74" i="3"/>
  <c r="Y73" i="3"/>
  <c r="W73" i="3"/>
  <c r="U73" i="3"/>
  <c r="S73" i="3"/>
  <c r="Q73" i="3"/>
  <c r="O73" i="3"/>
  <c r="M73" i="3"/>
  <c r="K73" i="3"/>
  <c r="I73" i="3"/>
  <c r="G73" i="3"/>
  <c r="E73" i="3"/>
  <c r="C73" i="3"/>
  <c r="X70" i="3"/>
  <c r="N70" i="3"/>
  <c r="R69" i="3"/>
  <c r="P69" i="3"/>
  <c r="N69" i="3"/>
  <c r="B69" i="3"/>
  <c r="X68" i="3"/>
  <c r="V68" i="3"/>
  <c r="N68" i="3"/>
  <c r="L68" i="3"/>
  <c r="J68" i="3"/>
  <c r="H68" i="3"/>
  <c r="F68" i="3"/>
  <c r="X67" i="3"/>
  <c r="X69" i="3" s="1"/>
  <c r="V67" i="3"/>
  <c r="T67" i="3"/>
  <c r="R67" i="3"/>
  <c r="P67" i="3"/>
  <c r="N67" i="3"/>
  <c r="L67" i="3"/>
  <c r="L69" i="3" s="1"/>
  <c r="J67" i="3"/>
  <c r="H67" i="3"/>
  <c r="F67" i="3"/>
  <c r="F69" i="3" s="1"/>
  <c r="D67" i="3"/>
  <c r="B67" i="3"/>
  <c r="Z66" i="3"/>
  <c r="S66" i="3"/>
  <c r="Q66" i="3"/>
  <c r="O66" i="3"/>
  <c r="M66" i="3"/>
  <c r="K66" i="3"/>
  <c r="I66" i="3"/>
  <c r="G66" i="3"/>
  <c r="E66" i="3"/>
  <c r="C66" i="3"/>
  <c r="X65" i="3"/>
  <c r="P65" i="3"/>
  <c r="F65" i="3"/>
  <c r="X64" i="3"/>
  <c r="R64" i="3"/>
  <c r="N64" i="3"/>
  <c r="J64" i="3"/>
  <c r="H64" i="3"/>
  <c r="F64" i="3"/>
  <c r="X63" i="3"/>
  <c r="V63" i="3"/>
  <c r="L63" i="3"/>
  <c r="J63" i="3"/>
  <c r="J65" i="3" s="1"/>
  <c r="H63" i="3"/>
  <c r="F63" i="3"/>
  <c r="D63" i="3"/>
  <c r="B63" i="3"/>
  <c r="B65" i="3" s="1"/>
  <c r="Z62" i="3"/>
  <c r="X62" i="3"/>
  <c r="Y62" i="3" s="1"/>
  <c r="V62" i="3"/>
  <c r="W62" i="3" s="1"/>
  <c r="T62" i="3"/>
  <c r="R62" i="3"/>
  <c r="P62" i="3"/>
  <c r="N62" i="3"/>
  <c r="N65" i="3" s="1"/>
  <c r="L62" i="3"/>
  <c r="J62" i="3"/>
  <c r="H62" i="3"/>
  <c r="F62" i="3"/>
  <c r="D62" i="3"/>
  <c r="Z61" i="3"/>
  <c r="Y61" i="3"/>
  <c r="C61" i="3"/>
  <c r="X60" i="3"/>
  <c r="T60" i="3"/>
  <c r="R60" i="3"/>
  <c r="P60" i="3"/>
  <c r="N60" i="3"/>
  <c r="H60" i="3"/>
  <c r="D60" i="3"/>
  <c r="V59" i="3"/>
  <c r="V60" i="3" s="1"/>
  <c r="L59" i="3"/>
  <c r="J59" i="3"/>
  <c r="H59" i="3"/>
  <c r="F59" i="3"/>
  <c r="B59" i="3"/>
  <c r="L58" i="3"/>
  <c r="J58" i="3"/>
  <c r="J60" i="3" s="1"/>
  <c r="H58" i="3"/>
  <c r="B58" i="3"/>
  <c r="B60" i="3" s="1"/>
  <c r="L57" i="3"/>
  <c r="J57" i="3"/>
  <c r="H57" i="3"/>
  <c r="F57" i="3"/>
  <c r="F60" i="3" s="1"/>
  <c r="Z56" i="3"/>
  <c r="Y56" i="3" s="1"/>
  <c r="O56" i="3"/>
  <c r="I56" i="3"/>
  <c r="G56" i="3"/>
  <c r="E56" i="3"/>
  <c r="C56" i="3"/>
  <c r="Z55" i="3"/>
  <c r="W55" i="3" s="1"/>
  <c r="AA55" i="3" s="1"/>
  <c r="Y55" i="3"/>
  <c r="U55" i="3"/>
  <c r="S55" i="3"/>
  <c r="Q55" i="3"/>
  <c r="O55" i="3"/>
  <c r="M55" i="3"/>
  <c r="K55" i="3"/>
  <c r="I55" i="3"/>
  <c r="G55" i="3"/>
  <c r="E55" i="3"/>
  <c r="C55" i="3"/>
  <c r="X54" i="3"/>
  <c r="V54" i="3"/>
  <c r="T54" i="3"/>
  <c r="R54" i="3"/>
  <c r="P54" i="3"/>
  <c r="N54" i="3"/>
  <c r="L54" i="3"/>
  <c r="J54" i="3"/>
  <c r="H54" i="3"/>
  <c r="B54" i="3"/>
  <c r="F53" i="3"/>
  <c r="D53" i="3"/>
  <c r="Z52" i="3"/>
  <c r="Q52" i="3"/>
  <c r="R51" i="3"/>
  <c r="X50" i="3"/>
  <c r="V50" i="3"/>
  <c r="T50" i="3"/>
  <c r="R50" i="3"/>
  <c r="P50" i="3"/>
  <c r="N50" i="3"/>
  <c r="L50" i="3"/>
  <c r="J50" i="3"/>
  <c r="H50" i="3"/>
  <c r="F50" i="3"/>
  <c r="D50" i="3"/>
  <c r="B50" i="3"/>
  <c r="Z49" i="3"/>
  <c r="S49" i="3" s="1"/>
  <c r="Y49" i="3"/>
  <c r="W49" i="3"/>
  <c r="L49" i="3"/>
  <c r="H49" i="3"/>
  <c r="D49" i="3"/>
  <c r="X48" i="3"/>
  <c r="V48" i="3"/>
  <c r="T48" i="3"/>
  <c r="R48" i="3"/>
  <c r="P48" i="3"/>
  <c r="J48" i="3"/>
  <c r="Y47" i="3"/>
  <c r="S47" i="3"/>
  <c r="O47" i="3"/>
  <c r="I47" i="3"/>
  <c r="F47" i="3"/>
  <c r="Z47" i="3" s="1"/>
  <c r="E47" i="3"/>
  <c r="C47" i="3"/>
  <c r="P46" i="3"/>
  <c r="N46" i="3"/>
  <c r="L46" i="3"/>
  <c r="L48" i="3" s="1"/>
  <c r="H46" i="3"/>
  <c r="F46" i="3"/>
  <c r="D46" i="3"/>
  <c r="B46" i="3"/>
  <c r="Z45" i="3"/>
  <c r="Y45" i="3"/>
  <c r="S45" i="3"/>
  <c r="Q45" i="3"/>
  <c r="O45" i="3"/>
  <c r="M45" i="3"/>
  <c r="K45" i="3"/>
  <c r="I45" i="3"/>
  <c r="G45" i="3"/>
  <c r="E45" i="3"/>
  <c r="C45" i="3"/>
  <c r="X43" i="3"/>
  <c r="V43" i="3"/>
  <c r="T43" i="3"/>
  <c r="R43" i="3"/>
  <c r="P43" i="3"/>
  <c r="L43" i="3"/>
  <c r="H43" i="3"/>
  <c r="F43" i="3"/>
  <c r="D43" i="3"/>
  <c r="B43" i="3"/>
  <c r="T42" i="3"/>
  <c r="P42" i="3"/>
  <c r="N42" i="3"/>
  <c r="N43" i="3" s="1"/>
  <c r="J42" i="3"/>
  <c r="Z41" i="3"/>
  <c r="W41" i="3"/>
  <c r="Q41" i="3"/>
  <c r="O41" i="3"/>
  <c r="M41" i="3"/>
  <c r="K41" i="3"/>
  <c r="I41" i="3"/>
  <c r="G41" i="3"/>
  <c r="E41" i="3"/>
  <c r="C41" i="3"/>
  <c r="V40" i="3"/>
  <c r="T40" i="3"/>
  <c r="R40" i="3"/>
  <c r="P40" i="3"/>
  <c r="N40" i="3"/>
  <c r="D40" i="3"/>
  <c r="B40" i="3"/>
  <c r="X39" i="3"/>
  <c r="F39" i="3"/>
  <c r="B39" i="3"/>
  <c r="X38" i="3"/>
  <c r="P38" i="3"/>
  <c r="N38" i="3"/>
  <c r="L38" i="3"/>
  <c r="L40" i="3" s="1"/>
  <c r="J38" i="3"/>
  <c r="J40" i="3" s="1"/>
  <c r="H38" i="3"/>
  <c r="H40" i="3" s="1"/>
  <c r="F38" i="3"/>
  <c r="Z37" i="3"/>
  <c r="Y37" i="3" s="1"/>
  <c r="S37" i="3"/>
  <c r="Q37" i="3"/>
  <c r="O37" i="3"/>
  <c r="K37" i="3"/>
  <c r="C37" i="3"/>
  <c r="X36" i="3"/>
  <c r="V36" i="3"/>
  <c r="T36" i="3"/>
  <c r="R36" i="3"/>
  <c r="P36" i="3"/>
  <c r="N36" i="3"/>
  <c r="L36" i="3"/>
  <c r="J36" i="3"/>
  <c r="F36" i="3"/>
  <c r="D36" i="3"/>
  <c r="D44" i="3" s="1"/>
  <c r="B36" i="3"/>
  <c r="H35" i="3"/>
  <c r="D35" i="3"/>
  <c r="D34" i="3"/>
  <c r="B34" i="3"/>
  <c r="Z33" i="3"/>
  <c r="Y33" i="3"/>
  <c r="K33" i="3"/>
  <c r="E33" i="3"/>
  <c r="C33" i="3"/>
  <c r="P32" i="3"/>
  <c r="N32" i="3"/>
  <c r="L32" i="3"/>
  <c r="J32" i="3"/>
  <c r="H32" i="3"/>
  <c r="F32" i="3"/>
  <c r="D32" i="3"/>
  <c r="B32" i="3"/>
  <c r="Z31" i="3"/>
  <c r="Y31" i="3" s="1"/>
  <c r="X31" i="3"/>
  <c r="V31" i="3"/>
  <c r="T31" i="3"/>
  <c r="S31" i="3"/>
  <c r="G31" i="3"/>
  <c r="X30" i="3"/>
  <c r="V30" i="3"/>
  <c r="V32" i="3" s="1"/>
  <c r="T30" i="3"/>
  <c r="T32" i="3" s="1"/>
  <c r="R30" i="3"/>
  <c r="X29" i="3"/>
  <c r="V29" i="3"/>
  <c r="T29" i="3"/>
  <c r="R29" i="3"/>
  <c r="Z28" i="3"/>
  <c r="Y28" i="3"/>
  <c r="W28" i="3"/>
  <c r="U28" i="3"/>
  <c r="S28" i="3"/>
  <c r="Q28" i="3"/>
  <c r="O28" i="3"/>
  <c r="M28" i="3"/>
  <c r="K28" i="3"/>
  <c r="I28" i="3"/>
  <c r="G28" i="3"/>
  <c r="E28" i="3"/>
  <c r="C28" i="3"/>
  <c r="X27" i="3"/>
  <c r="V27" i="3"/>
  <c r="V44" i="3" s="1"/>
  <c r="T27" i="3"/>
  <c r="R27" i="3"/>
  <c r="L27" i="3"/>
  <c r="J27" i="3"/>
  <c r="H27" i="3"/>
  <c r="F27" i="3"/>
  <c r="D27" i="3"/>
  <c r="Y26" i="3"/>
  <c r="R26" i="3"/>
  <c r="Z26" i="3" s="1"/>
  <c r="Z25" i="3"/>
  <c r="Y25" i="3"/>
  <c r="S25" i="3"/>
  <c r="R25" i="3"/>
  <c r="I25" i="3"/>
  <c r="G25" i="3"/>
  <c r="E25" i="3"/>
  <c r="C25" i="3"/>
  <c r="B25" i="3"/>
  <c r="B27" i="3" s="1"/>
  <c r="Z24" i="3"/>
  <c r="O24" i="3" s="1"/>
  <c r="P24" i="3"/>
  <c r="N24" i="3"/>
  <c r="N27" i="3" s="1"/>
  <c r="G24" i="3"/>
  <c r="D23" i="3"/>
  <c r="Z22" i="3"/>
  <c r="Y22" i="3" s="1"/>
  <c r="E22" i="3"/>
  <c r="C22" i="3"/>
  <c r="X21" i="3"/>
  <c r="V21" i="3"/>
  <c r="P21" i="3"/>
  <c r="L21" i="3"/>
  <c r="H21" i="3"/>
  <c r="F21" i="3"/>
  <c r="D21" i="3"/>
  <c r="B21" i="3"/>
  <c r="T20" i="3"/>
  <c r="R20" i="3"/>
  <c r="N20" i="3"/>
  <c r="N21" i="3" s="1"/>
  <c r="J20" i="3"/>
  <c r="T19" i="3"/>
  <c r="T21" i="3" s="1"/>
  <c r="R19" i="3"/>
  <c r="R21" i="3" s="1"/>
  <c r="P19" i="3"/>
  <c r="N19" i="3"/>
  <c r="L19" i="3"/>
  <c r="J19" i="3"/>
  <c r="Z18" i="3"/>
  <c r="Y18" i="3" s="1"/>
  <c r="Q18" i="3"/>
  <c r="O18" i="3"/>
  <c r="M18" i="3"/>
  <c r="K18" i="3"/>
  <c r="G18" i="3"/>
  <c r="E18" i="3"/>
  <c r="C18" i="3"/>
  <c r="V17" i="3"/>
  <c r="T17" i="3"/>
  <c r="R17" i="3"/>
  <c r="P17" i="3"/>
  <c r="J17" i="3"/>
  <c r="H17" i="3"/>
  <c r="D17" i="3"/>
  <c r="S16" i="3"/>
  <c r="L16" i="3"/>
  <c r="J16" i="3"/>
  <c r="H16" i="3"/>
  <c r="F16" i="3"/>
  <c r="Z16" i="3" s="1"/>
  <c r="Y16" i="3" s="1"/>
  <c r="E16" i="3"/>
  <c r="C16" i="3"/>
  <c r="X15" i="3"/>
  <c r="X17" i="3" s="1"/>
  <c r="L15" i="3"/>
  <c r="H15" i="3"/>
  <c r="F15" i="3"/>
  <c r="N14" i="3"/>
  <c r="L14" i="3"/>
  <c r="J14" i="3"/>
  <c r="H14" i="3"/>
  <c r="F14" i="3"/>
  <c r="D14" i="3"/>
  <c r="B14" i="3"/>
  <c r="Z13" i="3"/>
  <c r="Y13" i="3" s="1"/>
  <c r="S13" i="3"/>
  <c r="Q13" i="3"/>
  <c r="O13" i="3"/>
  <c r="M13" i="3"/>
  <c r="I13" i="3"/>
  <c r="G13" i="3"/>
  <c r="E13" i="3"/>
  <c r="C13" i="3"/>
  <c r="Z12" i="3"/>
  <c r="E12" i="3" s="1"/>
  <c r="Y12" i="3"/>
  <c r="W12" i="3"/>
  <c r="U12" i="3"/>
  <c r="S12" i="3"/>
  <c r="Q12" i="3"/>
  <c r="O12" i="3"/>
  <c r="M12" i="3"/>
  <c r="K12" i="3"/>
  <c r="I12" i="3"/>
  <c r="G12" i="3"/>
  <c r="C12" i="3"/>
  <c r="X11" i="3"/>
  <c r="T11" i="3"/>
  <c r="X10" i="3"/>
  <c r="V10" i="3"/>
  <c r="T10" i="3"/>
  <c r="R10" i="3"/>
  <c r="P10" i="3"/>
  <c r="N10" i="3"/>
  <c r="O10" i="3" s="1"/>
  <c r="L10" i="3"/>
  <c r="J10" i="3"/>
  <c r="H10" i="3"/>
  <c r="F10" i="3"/>
  <c r="D10" i="3"/>
  <c r="B10" i="3"/>
  <c r="Z10" i="3" s="1"/>
  <c r="X9" i="3"/>
  <c r="V9" i="3"/>
  <c r="T9" i="3"/>
  <c r="R9" i="3"/>
  <c r="P9" i="3"/>
  <c r="N9" i="3"/>
  <c r="L9" i="3"/>
  <c r="L11" i="3" s="1"/>
  <c r="J9" i="3"/>
  <c r="J11" i="3" s="1"/>
  <c r="H9" i="3"/>
  <c r="F9" i="3"/>
  <c r="D9" i="3"/>
  <c r="B9" i="3"/>
  <c r="X8" i="3"/>
  <c r="V8" i="3"/>
  <c r="T8" i="3"/>
  <c r="R8" i="3"/>
  <c r="R11" i="3" s="1"/>
  <c r="P8" i="3"/>
  <c r="P11" i="3" s="1"/>
  <c r="N8" i="3"/>
  <c r="L8" i="3"/>
  <c r="J8" i="3"/>
  <c r="H8" i="3"/>
  <c r="F8" i="3"/>
  <c r="D8" i="3"/>
  <c r="B11" i="3"/>
  <c r="Z7" i="3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Y8" i="1"/>
  <c r="W8" i="1"/>
  <c r="U8" i="1"/>
  <c r="S8" i="1"/>
  <c r="Q8" i="1"/>
  <c r="O8" i="1"/>
  <c r="M8" i="1"/>
  <c r="K8" i="1"/>
  <c r="I8" i="1"/>
  <c r="G8" i="1"/>
  <c r="E8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8" i="1"/>
  <c r="C9" i="1"/>
  <c r="C10" i="1"/>
  <c r="X116" i="1"/>
  <c r="V116" i="1"/>
  <c r="T116" i="1"/>
  <c r="R116" i="1"/>
  <c r="N116" i="1"/>
  <c r="L116" i="1"/>
  <c r="J116" i="1"/>
  <c r="H116" i="1"/>
  <c r="F116" i="1"/>
  <c r="P115" i="1"/>
  <c r="P116" i="1" s="1"/>
  <c r="D115" i="1"/>
  <c r="D116" i="1" s="1"/>
  <c r="B115" i="1"/>
  <c r="B116" i="1" s="1"/>
  <c r="N112" i="1"/>
  <c r="J112" i="1"/>
  <c r="H112" i="1"/>
  <c r="F112" i="1"/>
  <c r="D112" i="1"/>
  <c r="B112" i="1"/>
  <c r="X111" i="1"/>
  <c r="V111" i="1"/>
  <c r="T111" i="1"/>
  <c r="R111" i="1"/>
  <c r="P111" i="1"/>
  <c r="N111" i="1"/>
  <c r="L111" i="1"/>
  <c r="J111" i="1"/>
  <c r="H111" i="1"/>
  <c r="F111" i="1"/>
  <c r="D111" i="1"/>
  <c r="B111" i="1"/>
  <c r="X110" i="1"/>
  <c r="X113" i="1" s="1"/>
  <c r="V110" i="1"/>
  <c r="V113" i="1" s="1"/>
  <c r="T110" i="1"/>
  <c r="R110" i="1"/>
  <c r="P110" i="1"/>
  <c r="P113" i="1" s="1"/>
  <c r="N110" i="1"/>
  <c r="L110" i="1"/>
  <c r="J110" i="1"/>
  <c r="H110" i="1"/>
  <c r="F110" i="1"/>
  <c r="D110" i="1"/>
  <c r="B110" i="1"/>
  <c r="H109" i="1"/>
  <c r="Z109" i="1" s="1"/>
  <c r="X105" i="1"/>
  <c r="T105" i="1"/>
  <c r="R105" i="1"/>
  <c r="P105" i="1"/>
  <c r="N105" i="1"/>
  <c r="L105" i="1"/>
  <c r="J105" i="1"/>
  <c r="H105" i="1"/>
  <c r="F105" i="1"/>
  <c r="D105" i="1"/>
  <c r="B105" i="1"/>
  <c r="X103" i="1"/>
  <c r="V103" i="1"/>
  <c r="T103" i="1"/>
  <c r="R103" i="1"/>
  <c r="P103" i="1"/>
  <c r="N103" i="1"/>
  <c r="L103" i="1"/>
  <c r="J103" i="1"/>
  <c r="H103" i="1"/>
  <c r="F103" i="1"/>
  <c r="D103" i="1"/>
  <c r="B103" i="1"/>
  <c r="X102" i="1"/>
  <c r="X104" i="1" s="1"/>
  <c r="V102" i="1"/>
  <c r="V104" i="1" s="1"/>
  <c r="T102" i="1"/>
  <c r="T104" i="1" s="1"/>
  <c r="R102" i="1"/>
  <c r="P102" i="1"/>
  <c r="P104" i="1" s="1"/>
  <c r="N102" i="1"/>
  <c r="N104" i="1" s="1"/>
  <c r="L102" i="1"/>
  <c r="J102" i="1"/>
  <c r="H102" i="1"/>
  <c r="H104" i="1" s="1"/>
  <c r="F102" i="1"/>
  <c r="D102" i="1"/>
  <c r="B102" i="1"/>
  <c r="B104" i="1" s="1"/>
  <c r="Z101" i="1"/>
  <c r="X100" i="1"/>
  <c r="V100" i="1"/>
  <c r="T100" i="1"/>
  <c r="R100" i="1"/>
  <c r="P100" i="1"/>
  <c r="N100" i="1"/>
  <c r="L100" i="1"/>
  <c r="J100" i="1"/>
  <c r="H100" i="1"/>
  <c r="F100" i="1"/>
  <c r="D100" i="1"/>
  <c r="B100" i="1"/>
  <c r="V98" i="1"/>
  <c r="L98" i="1"/>
  <c r="F98" i="1"/>
  <c r="B98" i="1"/>
  <c r="X97" i="1"/>
  <c r="V97" i="1"/>
  <c r="T97" i="1"/>
  <c r="R97" i="1"/>
  <c r="P97" i="1"/>
  <c r="N97" i="1"/>
  <c r="L97" i="1"/>
  <c r="J97" i="1"/>
  <c r="H97" i="1"/>
  <c r="F97" i="1"/>
  <c r="D97" i="1"/>
  <c r="B97" i="1"/>
  <c r="X96" i="1"/>
  <c r="V96" i="1"/>
  <c r="T96" i="1"/>
  <c r="R96" i="1"/>
  <c r="P96" i="1"/>
  <c r="N96" i="1"/>
  <c r="L96" i="1"/>
  <c r="J96" i="1"/>
  <c r="H96" i="1"/>
  <c r="F96" i="1"/>
  <c r="B96" i="1"/>
  <c r="X95" i="1"/>
  <c r="V95" i="1"/>
  <c r="T95" i="1"/>
  <c r="R95" i="1"/>
  <c r="P95" i="1"/>
  <c r="N95" i="1"/>
  <c r="L95" i="1"/>
  <c r="J95" i="1"/>
  <c r="H95" i="1"/>
  <c r="F95" i="1"/>
  <c r="D95" i="1"/>
  <c r="B95" i="1"/>
  <c r="Z94" i="1"/>
  <c r="X93" i="1"/>
  <c r="V93" i="1"/>
  <c r="T93" i="1"/>
  <c r="R93" i="1"/>
  <c r="P93" i="1"/>
  <c r="N93" i="1"/>
  <c r="L93" i="1"/>
  <c r="J93" i="1"/>
  <c r="H93" i="1"/>
  <c r="X92" i="1"/>
  <c r="V92" i="1"/>
  <c r="T92" i="1"/>
  <c r="R92" i="1"/>
  <c r="P92" i="1"/>
  <c r="N92" i="1"/>
  <c r="L92" i="1"/>
  <c r="J92" i="1"/>
  <c r="H92" i="1"/>
  <c r="F92" i="1"/>
  <c r="D92" i="1"/>
  <c r="B92" i="1"/>
  <c r="X91" i="1"/>
  <c r="T91" i="1"/>
  <c r="R91" i="1"/>
  <c r="P91" i="1"/>
  <c r="N91" i="1"/>
  <c r="L91" i="1"/>
  <c r="X90" i="1"/>
  <c r="V90" i="1"/>
  <c r="T90" i="1"/>
  <c r="R90" i="1"/>
  <c r="P90" i="1"/>
  <c r="N90" i="1"/>
  <c r="L90" i="1"/>
  <c r="J90" i="1"/>
  <c r="H90" i="1"/>
  <c r="F90" i="1"/>
  <c r="D90" i="1"/>
  <c r="B90" i="1"/>
  <c r="X89" i="1"/>
  <c r="V89" i="1"/>
  <c r="T89" i="1"/>
  <c r="R89" i="1"/>
  <c r="P89" i="1"/>
  <c r="N89" i="1"/>
  <c r="L89" i="1"/>
  <c r="J89" i="1"/>
  <c r="H89" i="1"/>
  <c r="F89" i="1"/>
  <c r="D89" i="1"/>
  <c r="B89" i="1"/>
  <c r="X88" i="1"/>
  <c r="V88" i="1"/>
  <c r="R88" i="1"/>
  <c r="P88" i="1"/>
  <c r="N88" i="1"/>
  <c r="L88" i="1"/>
  <c r="H88" i="1"/>
  <c r="F88" i="1"/>
  <c r="D88" i="1"/>
  <c r="B88" i="1"/>
  <c r="X87" i="1"/>
  <c r="V87" i="1"/>
  <c r="T87" i="1"/>
  <c r="R87" i="1"/>
  <c r="P87" i="1"/>
  <c r="N87" i="1"/>
  <c r="J87" i="1"/>
  <c r="H87" i="1"/>
  <c r="F87" i="1"/>
  <c r="D87" i="1"/>
  <c r="B87" i="1"/>
  <c r="L86" i="1"/>
  <c r="Z86" i="1" s="1"/>
  <c r="Z85" i="1"/>
  <c r="X84" i="1"/>
  <c r="P84" i="1"/>
  <c r="N84" i="1"/>
  <c r="J84" i="1"/>
  <c r="H84" i="1"/>
  <c r="F84" i="1"/>
  <c r="D84" i="1"/>
  <c r="B84" i="1"/>
  <c r="N83" i="1"/>
  <c r="F83" i="1"/>
  <c r="D83" i="1"/>
  <c r="L82" i="1"/>
  <c r="J82" i="1"/>
  <c r="B82" i="1"/>
  <c r="F81" i="1"/>
  <c r="D81" i="1"/>
  <c r="B81" i="1"/>
  <c r="X80" i="1"/>
  <c r="X81" i="1" s="1"/>
  <c r="V80" i="1"/>
  <c r="V81" i="1" s="1"/>
  <c r="T80" i="1"/>
  <c r="T81" i="1" s="1"/>
  <c r="R80" i="1"/>
  <c r="R81" i="1" s="1"/>
  <c r="P80" i="1"/>
  <c r="P81" i="1" s="1"/>
  <c r="N80" i="1"/>
  <c r="N81" i="1" s="1"/>
  <c r="L80" i="1"/>
  <c r="L81" i="1" s="1"/>
  <c r="J80" i="1"/>
  <c r="J81" i="1" s="1"/>
  <c r="H80" i="1"/>
  <c r="H81" i="1" s="1"/>
  <c r="Z79" i="1"/>
  <c r="X78" i="1"/>
  <c r="V78" i="1"/>
  <c r="T78" i="1"/>
  <c r="R78" i="1"/>
  <c r="P78" i="1"/>
  <c r="N78" i="1"/>
  <c r="L78" i="1"/>
  <c r="J78" i="1"/>
  <c r="H78" i="1"/>
  <c r="F78" i="1"/>
  <c r="D78" i="1"/>
  <c r="B78" i="1"/>
  <c r="X77" i="1"/>
  <c r="V77" i="1"/>
  <c r="T77" i="1"/>
  <c r="R77" i="1"/>
  <c r="P77" i="1"/>
  <c r="N77" i="1"/>
  <c r="L77" i="1"/>
  <c r="J77" i="1"/>
  <c r="H77" i="1"/>
  <c r="F77" i="1"/>
  <c r="D77" i="1"/>
  <c r="B77" i="1"/>
  <c r="P76" i="1"/>
  <c r="D76" i="1"/>
  <c r="X75" i="1"/>
  <c r="V75" i="1"/>
  <c r="T75" i="1"/>
  <c r="R75" i="1"/>
  <c r="P75" i="1"/>
  <c r="N75" i="1"/>
  <c r="L75" i="1"/>
  <c r="J75" i="1"/>
  <c r="H75" i="1"/>
  <c r="F75" i="1"/>
  <c r="D75" i="1"/>
  <c r="B75" i="1"/>
  <c r="P74" i="1"/>
  <c r="Z74" i="1" s="1"/>
  <c r="X68" i="1"/>
  <c r="V68" i="1"/>
  <c r="N68" i="1"/>
  <c r="L68" i="1"/>
  <c r="J68" i="1"/>
  <c r="H68" i="1"/>
  <c r="F68" i="1"/>
  <c r="X67" i="1"/>
  <c r="V67" i="1"/>
  <c r="T67" i="1"/>
  <c r="T69" i="1" s="1"/>
  <c r="R67" i="1"/>
  <c r="R69" i="1" s="1"/>
  <c r="P67" i="1"/>
  <c r="P69" i="1" s="1"/>
  <c r="N67" i="1"/>
  <c r="L67" i="1"/>
  <c r="J67" i="1"/>
  <c r="H67" i="1"/>
  <c r="F67" i="1"/>
  <c r="D67" i="1"/>
  <c r="D69" i="1" s="1"/>
  <c r="B67" i="1"/>
  <c r="B69" i="1" s="1"/>
  <c r="Z66" i="1"/>
  <c r="X64" i="1"/>
  <c r="R64" i="1"/>
  <c r="N64" i="1"/>
  <c r="J64" i="1"/>
  <c r="H64" i="1"/>
  <c r="F64" i="1"/>
  <c r="X63" i="1"/>
  <c r="V63" i="1"/>
  <c r="L63" i="1"/>
  <c r="J63" i="1"/>
  <c r="H63" i="1"/>
  <c r="F63" i="1"/>
  <c r="D63" i="1"/>
  <c r="B63" i="1"/>
  <c r="X62" i="1"/>
  <c r="V62" i="1"/>
  <c r="T62" i="1"/>
  <c r="T65" i="1" s="1"/>
  <c r="R62" i="1"/>
  <c r="P62" i="1"/>
  <c r="P65" i="1" s="1"/>
  <c r="N62" i="1"/>
  <c r="L62" i="1"/>
  <c r="L65" i="1" s="1"/>
  <c r="J62" i="1"/>
  <c r="H62" i="1"/>
  <c r="F62" i="1"/>
  <c r="D62" i="1"/>
  <c r="D65" i="1" s="1"/>
  <c r="Z61" i="1"/>
  <c r="X60" i="1"/>
  <c r="T60" i="1"/>
  <c r="R60" i="1"/>
  <c r="P60" i="1"/>
  <c r="N60" i="1"/>
  <c r="D60" i="1"/>
  <c r="V59" i="1"/>
  <c r="V60" i="1" s="1"/>
  <c r="L59" i="1"/>
  <c r="J59" i="1"/>
  <c r="H59" i="1"/>
  <c r="F59" i="1"/>
  <c r="B59" i="1"/>
  <c r="L58" i="1"/>
  <c r="J58" i="1"/>
  <c r="H58" i="1"/>
  <c r="B58" i="1"/>
  <c r="L57" i="1"/>
  <c r="J57" i="1"/>
  <c r="H57" i="1"/>
  <c r="F57" i="1"/>
  <c r="Z56" i="1"/>
  <c r="Z55" i="1"/>
  <c r="X54" i="1"/>
  <c r="V54" i="1"/>
  <c r="T54" i="1"/>
  <c r="R54" i="1"/>
  <c r="P54" i="1"/>
  <c r="N54" i="1"/>
  <c r="L54" i="1"/>
  <c r="J54" i="1"/>
  <c r="H54" i="1"/>
  <c r="B54" i="1"/>
  <c r="F53" i="1"/>
  <c r="F54" i="1" s="1"/>
  <c r="D53" i="1"/>
  <c r="D54" i="1" s="1"/>
  <c r="Z52" i="1"/>
  <c r="X50" i="1"/>
  <c r="V50" i="1"/>
  <c r="T50" i="1"/>
  <c r="R50" i="1"/>
  <c r="P50" i="1"/>
  <c r="N50" i="1"/>
  <c r="L50" i="1"/>
  <c r="J50" i="1"/>
  <c r="H50" i="1"/>
  <c r="F50" i="1"/>
  <c r="D50" i="1"/>
  <c r="B50" i="1"/>
  <c r="L49" i="1"/>
  <c r="H49" i="1"/>
  <c r="D49" i="1"/>
  <c r="X48" i="1"/>
  <c r="V48" i="1"/>
  <c r="T48" i="1"/>
  <c r="R48" i="1"/>
  <c r="J48" i="1"/>
  <c r="J51" i="1" s="1"/>
  <c r="F47" i="1"/>
  <c r="Z47" i="1" s="1"/>
  <c r="P46" i="1"/>
  <c r="P48" i="1" s="1"/>
  <c r="N46" i="1"/>
  <c r="N48" i="1" s="1"/>
  <c r="L46" i="1"/>
  <c r="L48" i="1" s="1"/>
  <c r="H46" i="1"/>
  <c r="H48" i="1" s="1"/>
  <c r="F46" i="1"/>
  <c r="D46" i="1"/>
  <c r="D48" i="1" s="1"/>
  <c r="B46" i="1"/>
  <c r="Z45" i="1"/>
  <c r="X43" i="1"/>
  <c r="V43" i="1"/>
  <c r="R43" i="1"/>
  <c r="L43" i="1"/>
  <c r="H43" i="1"/>
  <c r="F43" i="1"/>
  <c r="D43" i="1"/>
  <c r="B43" i="1"/>
  <c r="T42" i="1"/>
  <c r="T43" i="1" s="1"/>
  <c r="P42" i="1"/>
  <c r="P43" i="1" s="1"/>
  <c r="N42" i="1"/>
  <c r="N43" i="1" s="1"/>
  <c r="J42" i="1"/>
  <c r="J43" i="1" s="1"/>
  <c r="Z41" i="1"/>
  <c r="V40" i="1"/>
  <c r="T40" i="1"/>
  <c r="R40" i="1"/>
  <c r="D40" i="1"/>
  <c r="X39" i="1"/>
  <c r="F39" i="1"/>
  <c r="B39" i="1"/>
  <c r="B40" i="1" s="1"/>
  <c r="X38" i="1"/>
  <c r="P38" i="1"/>
  <c r="P40" i="1" s="1"/>
  <c r="N38" i="1"/>
  <c r="N40" i="1" s="1"/>
  <c r="L38" i="1"/>
  <c r="L40" i="1" s="1"/>
  <c r="J38" i="1"/>
  <c r="J40" i="1" s="1"/>
  <c r="H38" i="1"/>
  <c r="H40" i="1" s="1"/>
  <c r="F38" i="1"/>
  <c r="Z37" i="1"/>
  <c r="X36" i="1"/>
  <c r="V36" i="1"/>
  <c r="T36" i="1"/>
  <c r="R36" i="1"/>
  <c r="P36" i="1"/>
  <c r="N36" i="1"/>
  <c r="L36" i="1"/>
  <c r="J36" i="1"/>
  <c r="F36" i="1"/>
  <c r="H35" i="1"/>
  <c r="D35" i="1"/>
  <c r="D34" i="1"/>
  <c r="B34" i="1"/>
  <c r="B36" i="1" s="1"/>
  <c r="Z33" i="1"/>
  <c r="P32" i="1"/>
  <c r="N32" i="1"/>
  <c r="L32" i="1"/>
  <c r="J32" i="1"/>
  <c r="H32" i="1"/>
  <c r="F32" i="1"/>
  <c r="D32" i="1"/>
  <c r="B32" i="1"/>
  <c r="X31" i="1"/>
  <c r="V31" i="1"/>
  <c r="T31" i="1"/>
  <c r="X30" i="1"/>
  <c r="V30" i="1"/>
  <c r="T30" i="1"/>
  <c r="R30" i="1"/>
  <c r="X29" i="1"/>
  <c r="V29" i="1"/>
  <c r="T29" i="1"/>
  <c r="R29" i="1"/>
  <c r="Z28" i="1"/>
  <c r="X27" i="1"/>
  <c r="V27" i="1"/>
  <c r="T27" i="1"/>
  <c r="L27" i="1"/>
  <c r="J27" i="1"/>
  <c r="H27" i="1"/>
  <c r="F27" i="1"/>
  <c r="R26" i="1"/>
  <c r="Z26" i="1" s="1"/>
  <c r="R25" i="1"/>
  <c r="B25" i="1"/>
  <c r="P24" i="1"/>
  <c r="P27" i="1" s="1"/>
  <c r="N24" i="1"/>
  <c r="N27" i="1" s="1"/>
  <c r="D23" i="1"/>
  <c r="Z23" i="1" s="1"/>
  <c r="Z22" i="1"/>
  <c r="X21" i="1"/>
  <c r="V21" i="1"/>
  <c r="H21" i="1"/>
  <c r="F21" i="1"/>
  <c r="D21" i="1"/>
  <c r="B21" i="1"/>
  <c r="T20" i="1"/>
  <c r="R20" i="1"/>
  <c r="N20" i="1"/>
  <c r="J20" i="1"/>
  <c r="T19" i="1"/>
  <c r="R19" i="1"/>
  <c r="P19" i="1"/>
  <c r="P21" i="1" s="1"/>
  <c r="N19" i="1"/>
  <c r="L19" i="1"/>
  <c r="L21" i="1" s="1"/>
  <c r="J19" i="1"/>
  <c r="Z18" i="1"/>
  <c r="V17" i="1"/>
  <c r="T17" i="1"/>
  <c r="R17" i="1"/>
  <c r="P17" i="1"/>
  <c r="L16" i="1"/>
  <c r="J16" i="1"/>
  <c r="H16" i="1"/>
  <c r="F16" i="1"/>
  <c r="X15" i="1"/>
  <c r="X17" i="1" s="1"/>
  <c r="L15" i="1"/>
  <c r="H15" i="1"/>
  <c r="F15" i="1"/>
  <c r="N14" i="1"/>
  <c r="L14" i="1"/>
  <c r="J14" i="1"/>
  <c r="H14" i="1"/>
  <c r="F14" i="1"/>
  <c r="D14" i="1"/>
  <c r="D17" i="1" s="1"/>
  <c r="B14" i="1"/>
  <c r="B17" i="1" s="1"/>
  <c r="Z13" i="1"/>
  <c r="Z12" i="1"/>
  <c r="X10" i="1"/>
  <c r="V10" i="1"/>
  <c r="T10" i="1"/>
  <c r="R10" i="1"/>
  <c r="P10" i="1"/>
  <c r="N10" i="1"/>
  <c r="L10" i="1"/>
  <c r="J10" i="1"/>
  <c r="H10" i="1"/>
  <c r="F10" i="1"/>
  <c r="D10" i="1"/>
  <c r="B10" i="1"/>
  <c r="X9" i="1"/>
  <c r="V9" i="1"/>
  <c r="T9" i="1"/>
  <c r="R9" i="1"/>
  <c r="P9" i="1"/>
  <c r="N9" i="1"/>
  <c r="L9" i="1"/>
  <c r="J9" i="1"/>
  <c r="H9" i="1"/>
  <c r="F9" i="1"/>
  <c r="D9" i="1"/>
  <c r="B9" i="1"/>
  <c r="X8" i="1"/>
  <c r="V8" i="1"/>
  <c r="T8" i="1"/>
  <c r="R8" i="1"/>
  <c r="P8" i="1"/>
  <c r="N8" i="1"/>
  <c r="L8" i="1"/>
  <c r="L11" i="1" s="1"/>
  <c r="J8" i="1"/>
  <c r="H8" i="1"/>
  <c r="F8" i="1"/>
  <c r="D8" i="1"/>
  <c r="B8" i="1"/>
  <c r="Z7" i="1"/>
  <c r="X124" i="5" l="1"/>
  <c r="AA118" i="5"/>
  <c r="AA119" i="5"/>
  <c r="AA96" i="5"/>
  <c r="AA95" i="5"/>
  <c r="AA38" i="4"/>
  <c r="AA115" i="4"/>
  <c r="AA57" i="4"/>
  <c r="AA16" i="4"/>
  <c r="AA98" i="4"/>
  <c r="AA116" i="4"/>
  <c r="AA19" i="4"/>
  <c r="N69" i="4"/>
  <c r="AA114" i="4"/>
  <c r="AA79" i="4"/>
  <c r="AA56" i="4"/>
  <c r="AA15" i="4"/>
  <c r="AA117" i="4"/>
  <c r="AA97" i="4"/>
  <c r="AA61" i="4"/>
  <c r="AA37" i="4"/>
  <c r="AA110" i="4"/>
  <c r="AA53" i="4"/>
  <c r="AA32" i="4"/>
  <c r="AA14" i="4"/>
  <c r="AA21" i="4"/>
  <c r="AA62" i="4"/>
  <c r="AA93" i="4"/>
  <c r="AA73" i="4"/>
  <c r="AA52" i="4"/>
  <c r="AA29" i="4"/>
  <c r="AA10" i="4"/>
  <c r="AA107" i="4"/>
  <c r="AA91" i="4"/>
  <c r="AA72" i="4"/>
  <c r="AA28" i="4"/>
  <c r="AA9" i="4"/>
  <c r="AA121" i="4"/>
  <c r="AA105" i="4"/>
  <c r="AA89" i="4"/>
  <c r="AA71" i="4"/>
  <c r="AA27" i="4"/>
  <c r="D46" i="4"/>
  <c r="AA8" i="4"/>
  <c r="AA103" i="4"/>
  <c r="AA88" i="4"/>
  <c r="AA68" i="4"/>
  <c r="AA45" i="4"/>
  <c r="AA26" i="4"/>
  <c r="AA49" i="4"/>
  <c r="AA20" i="4"/>
  <c r="V122" i="4"/>
  <c r="AA102" i="4"/>
  <c r="AA87" i="4"/>
  <c r="AA42" i="4"/>
  <c r="AA25" i="4"/>
  <c r="AA81" i="4"/>
  <c r="J35" i="4"/>
  <c r="AA120" i="4"/>
  <c r="AA101" i="4"/>
  <c r="AA85" i="4"/>
  <c r="AA66" i="4"/>
  <c r="AA41" i="4"/>
  <c r="AA24" i="4"/>
  <c r="AA33" i="4"/>
  <c r="AA80" i="4"/>
  <c r="AA10" i="5"/>
  <c r="AA59" i="5"/>
  <c r="N87" i="5"/>
  <c r="AA123" i="5"/>
  <c r="AA31" i="5"/>
  <c r="AA36" i="5"/>
  <c r="AA75" i="5"/>
  <c r="P87" i="5"/>
  <c r="AA110" i="5"/>
  <c r="AA18" i="5"/>
  <c r="AA23" i="5"/>
  <c r="AA44" i="5"/>
  <c r="AA52" i="5"/>
  <c r="X87" i="5"/>
  <c r="D87" i="5"/>
  <c r="AA87" i="5" s="1"/>
  <c r="AA65" i="5"/>
  <c r="F87" i="5"/>
  <c r="AA105" i="5"/>
  <c r="Z112" i="5"/>
  <c r="AA47" i="5"/>
  <c r="Z48" i="5"/>
  <c r="H87" i="5"/>
  <c r="D51" i="4"/>
  <c r="F69" i="4"/>
  <c r="R35" i="4"/>
  <c r="T22" i="4"/>
  <c r="H51" i="4"/>
  <c r="D17" i="4"/>
  <c r="L35" i="4"/>
  <c r="R109" i="4"/>
  <c r="D109" i="4"/>
  <c r="H86" i="4"/>
  <c r="J51" i="4"/>
  <c r="L109" i="4"/>
  <c r="AA77" i="4"/>
  <c r="B54" i="4"/>
  <c r="R51" i="4"/>
  <c r="R30" i="4"/>
  <c r="T17" i="4"/>
  <c r="D22" i="4"/>
  <c r="J86" i="4"/>
  <c r="L51" i="4"/>
  <c r="P69" i="4"/>
  <c r="R46" i="4"/>
  <c r="F58" i="4"/>
  <c r="H35" i="4"/>
  <c r="T92" i="4"/>
  <c r="X92" i="4"/>
  <c r="F74" i="4"/>
  <c r="H109" i="4"/>
  <c r="L86" i="4"/>
  <c r="N64" i="4"/>
  <c r="P64" i="4"/>
  <c r="R104" i="4"/>
  <c r="X104" i="4"/>
  <c r="B69" i="4"/>
  <c r="F22" i="4"/>
  <c r="H122" i="4"/>
  <c r="J122" i="4"/>
  <c r="L122" i="4"/>
  <c r="N92" i="4"/>
  <c r="N17" i="4"/>
  <c r="P92" i="4"/>
  <c r="P17" i="4"/>
  <c r="T104" i="4"/>
  <c r="T46" i="4"/>
  <c r="T30" i="4"/>
  <c r="V74" i="4"/>
  <c r="V58" i="4"/>
  <c r="V43" i="4"/>
  <c r="X43" i="4"/>
  <c r="B22" i="4"/>
  <c r="D39" i="4"/>
  <c r="D69" i="4"/>
  <c r="F109" i="4"/>
  <c r="F51" i="4"/>
  <c r="F35" i="4"/>
  <c r="H64" i="4"/>
  <c r="J64" i="4"/>
  <c r="L64" i="4"/>
  <c r="N104" i="4"/>
  <c r="N46" i="4"/>
  <c r="N30" i="4"/>
  <c r="P104" i="4"/>
  <c r="P46" i="4"/>
  <c r="P30" i="4"/>
  <c r="R74" i="4"/>
  <c r="R58" i="4"/>
  <c r="R43" i="4"/>
  <c r="V11" i="4"/>
  <c r="X54" i="4"/>
  <c r="X30" i="4"/>
  <c r="D104" i="4"/>
  <c r="F43" i="4"/>
  <c r="Z75" i="4"/>
  <c r="B109" i="4"/>
  <c r="B51" i="4"/>
  <c r="B35" i="4"/>
  <c r="D54" i="4"/>
  <c r="F122" i="4"/>
  <c r="H92" i="4"/>
  <c r="H17" i="4"/>
  <c r="J92" i="4"/>
  <c r="J17" i="4"/>
  <c r="L92" i="4"/>
  <c r="L17" i="4"/>
  <c r="R11" i="4"/>
  <c r="T74" i="4"/>
  <c r="T58" i="4"/>
  <c r="T43" i="4"/>
  <c r="V86" i="4"/>
  <c r="X17" i="4"/>
  <c r="Z47" i="4"/>
  <c r="B122" i="4"/>
  <c r="D11" i="4"/>
  <c r="D86" i="4"/>
  <c r="F64" i="4"/>
  <c r="H104" i="4"/>
  <c r="H46" i="4"/>
  <c r="H30" i="4"/>
  <c r="J104" i="4"/>
  <c r="J46" i="4"/>
  <c r="J30" i="4"/>
  <c r="L104" i="4"/>
  <c r="L46" i="4"/>
  <c r="L30" i="4"/>
  <c r="N74" i="4"/>
  <c r="N58" i="4"/>
  <c r="N43" i="4"/>
  <c r="P74" i="4"/>
  <c r="P58" i="4"/>
  <c r="P43" i="4"/>
  <c r="R86" i="4"/>
  <c r="T11" i="4"/>
  <c r="V54" i="4"/>
  <c r="V39" i="4"/>
  <c r="X64" i="4"/>
  <c r="B64" i="4"/>
  <c r="D43" i="4"/>
  <c r="AA43" i="4" s="1"/>
  <c r="F92" i="4"/>
  <c r="F17" i="4"/>
  <c r="N11" i="4"/>
  <c r="P11" i="4"/>
  <c r="R54" i="4"/>
  <c r="R39" i="4"/>
  <c r="T86" i="4"/>
  <c r="V69" i="4"/>
  <c r="X51" i="4"/>
  <c r="X39" i="4"/>
  <c r="B92" i="4"/>
  <c r="B17" i="4"/>
  <c r="D58" i="4"/>
  <c r="D74" i="4"/>
  <c r="F104" i="4"/>
  <c r="F46" i="4"/>
  <c r="F30" i="4"/>
  <c r="H74" i="4"/>
  <c r="H58" i="4"/>
  <c r="H43" i="4"/>
  <c r="J74" i="4"/>
  <c r="J58" i="4"/>
  <c r="J43" i="4"/>
  <c r="L74" i="4"/>
  <c r="L58" i="4"/>
  <c r="L43" i="4"/>
  <c r="N86" i="4"/>
  <c r="P86" i="4"/>
  <c r="R69" i="4"/>
  <c r="T54" i="4"/>
  <c r="T39" i="4"/>
  <c r="V22" i="4"/>
  <c r="X122" i="4"/>
  <c r="X86" i="4"/>
  <c r="X74" i="4"/>
  <c r="B104" i="4"/>
  <c r="B46" i="4"/>
  <c r="B30" i="4"/>
  <c r="D30" i="4"/>
  <c r="H11" i="4"/>
  <c r="J11" i="4"/>
  <c r="L11" i="4"/>
  <c r="N54" i="4"/>
  <c r="N39" i="4"/>
  <c r="P54" i="4"/>
  <c r="P39" i="4"/>
  <c r="R22" i="4"/>
  <c r="T69" i="4"/>
  <c r="V109" i="4"/>
  <c r="V51" i="4"/>
  <c r="V35" i="4"/>
  <c r="X109" i="4"/>
  <c r="B58" i="4"/>
  <c r="D92" i="4"/>
  <c r="F11" i="4"/>
  <c r="H54" i="4"/>
  <c r="H39" i="4"/>
  <c r="J54" i="4"/>
  <c r="J39" i="4"/>
  <c r="L54" i="4"/>
  <c r="L39" i="4"/>
  <c r="N22" i="4"/>
  <c r="P22" i="4"/>
  <c r="R122" i="4"/>
  <c r="T109" i="4"/>
  <c r="T51" i="4"/>
  <c r="T35" i="4"/>
  <c r="V64" i="4"/>
  <c r="X35" i="4"/>
  <c r="X11" i="4"/>
  <c r="Z111" i="4"/>
  <c r="D64" i="4"/>
  <c r="F86" i="4"/>
  <c r="H69" i="4"/>
  <c r="J69" i="4"/>
  <c r="L69" i="4"/>
  <c r="N109" i="4"/>
  <c r="N51" i="4"/>
  <c r="N35" i="4"/>
  <c r="P51" i="4"/>
  <c r="P35" i="4"/>
  <c r="R64" i="4"/>
  <c r="T122" i="4"/>
  <c r="V92" i="4"/>
  <c r="V17" i="4"/>
  <c r="X46" i="4"/>
  <c r="X22" i="4"/>
  <c r="D122" i="4"/>
  <c r="H22" i="4"/>
  <c r="J22" i="4"/>
  <c r="N122" i="4"/>
  <c r="U43" i="3"/>
  <c r="E9" i="3"/>
  <c r="U10" i="3"/>
  <c r="I10" i="3"/>
  <c r="M10" i="3"/>
  <c r="Y10" i="3"/>
  <c r="Z11" i="3"/>
  <c r="S11" i="3" s="1"/>
  <c r="Z21" i="3"/>
  <c r="Y21" i="3" s="1"/>
  <c r="M26" i="3"/>
  <c r="K26" i="3"/>
  <c r="I26" i="3"/>
  <c r="G26" i="3"/>
  <c r="E26" i="3"/>
  <c r="Q26" i="3"/>
  <c r="L17" i="3"/>
  <c r="T44" i="3"/>
  <c r="S26" i="3"/>
  <c r="Y30" i="3"/>
  <c r="H36" i="3"/>
  <c r="Z36" i="3" s="1"/>
  <c r="F40" i="3"/>
  <c r="Z38" i="3"/>
  <c r="Q38" i="3" s="1"/>
  <c r="T69" i="3"/>
  <c r="Z67" i="3"/>
  <c r="U67" i="3" s="1"/>
  <c r="R106" i="3"/>
  <c r="S75" i="3"/>
  <c r="Q89" i="3"/>
  <c r="H69" i="3"/>
  <c r="V11" i="3"/>
  <c r="Y9" i="3"/>
  <c r="Q10" i="3"/>
  <c r="N17" i="3"/>
  <c r="W16" i="3"/>
  <c r="U26" i="3"/>
  <c r="I43" i="3"/>
  <c r="D48" i="3"/>
  <c r="O52" i="3"/>
  <c r="C52" i="3"/>
  <c r="Y52" i="3"/>
  <c r="W52" i="3"/>
  <c r="M52" i="3"/>
  <c r="I52" i="3"/>
  <c r="G52" i="3"/>
  <c r="E52" i="3"/>
  <c r="K52" i="3"/>
  <c r="U52" i="3"/>
  <c r="S52" i="3"/>
  <c r="U75" i="3"/>
  <c r="W91" i="3"/>
  <c r="I91" i="3"/>
  <c r="G91" i="3"/>
  <c r="E91" i="3"/>
  <c r="C91" i="3"/>
  <c r="K91" i="3"/>
  <c r="Q91" i="3"/>
  <c r="C102" i="3"/>
  <c r="B104" i="3"/>
  <c r="B106" i="3" s="1"/>
  <c r="Z102" i="3"/>
  <c r="U16" i="3"/>
  <c r="S10" i="3"/>
  <c r="N11" i="3"/>
  <c r="W26" i="3"/>
  <c r="E31" i="3"/>
  <c r="Z32" i="3"/>
  <c r="E32" i="3" s="1"/>
  <c r="J43" i="3"/>
  <c r="Z42" i="3"/>
  <c r="Z53" i="3"/>
  <c r="D54" i="3"/>
  <c r="S97" i="3"/>
  <c r="C10" i="3"/>
  <c r="M9" i="3"/>
  <c r="Z112" i="3"/>
  <c r="Q22" i="3"/>
  <c r="L60" i="3"/>
  <c r="W61" i="3"/>
  <c r="U61" i="3"/>
  <c r="S61" i="3"/>
  <c r="E61" i="3"/>
  <c r="AA61" i="3" s="1"/>
  <c r="Q61" i="3"/>
  <c r="M61" i="3"/>
  <c r="K61" i="3"/>
  <c r="I61" i="3"/>
  <c r="O61" i="3"/>
  <c r="G61" i="3"/>
  <c r="C62" i="3"/>
  <c r="O62" i="3"/>
  <c r="M77" i="3"/>
  <c r="Y87" i="3"/>
  <c r="E89" i="3"/>
  <c r="O97" i="3"/>
  <c r="C97" i="3"/>
  <c r="Y97" i="3"/>
  <c r="M97" i="3"/>
  <c r="L104" i="3"/>
  <c r="Q111" i="3"/>
  <c r="T71" i="3"/>
  <c r="U11" i="3"/>
  <c r="W10" i="3"/>
  <c r="E10" i="3"/>
  <c r="B17" i="3"/>
  <c r="Z14" i="3"/>
  <c r="C14" i="3" s="1"/>
  <c r="Z34" i="3"/>
  <c r="C34" i="3" s="1"/>
  <c r="Z46" i="3"/>
  <c r="C46" i="3"/>
  <c r="U89" i="3"/>
  <c r="I89" i="3"/>
  <c r="S89" i="3"/>
  <c r="G89" i="3"/>
  <c r="M89" i="3"/>
  <c r="K89" i="3"/>
  <c r="Y89" i="3"/>
  <c r="D11" i="3"/>
  <c r="M24" i="3"/>
  <c r="I16" i="3"/>
  <c r="W22" i="3"/>
  <c r="Q25" i="3"/>
  <c r="O25" i="3"/>
  <c r="M25" i="3"/>
  <c r="K25" i="3"/>
  <c r="AA25" i="3" s="1"/>
  <c r="W25" i="3"/>
  <c r="U25" i="3"/>
  <c r="AA28" i="3"/>
  <c r="T51" i="3"/>
  <c r="E62" i="3"/>
  <c r="D65" i="3"/>
  <c r="Z65" i="3" s="1"/>
  <c r="I9" i="3"/>
  <c r="J21" i="3"/>
  <c r="Z19" i="3"/>
  <c r="Z29" i="3"/>
  <c r="Y29" i="3" s="1"/>
  <c r="G100" i="3"/>
  <c r="G78" i="3"/>
  <c r="K16" i="3"/>
  <c r="Q16" i="3"/>
  <c r="O16" i="3"/>
  <c r="M38" i="3"/>
  <c r="K49" i="3"/>
  <c r="U49" i="3"/>
  <c r="Q49" i="3"/>
  <c r="O49" i="3"/>
  <c r="E49" i="3"/>
  <c r="C49" i="3"/>
  <c r="J106" i="3"/>
  <c r="G10" i="3"/>
  <c r="G16" i="3"/>
  <c r="AA16" i="3" s="1"/>
  <c r="F11" i="3"/>
  <c r="K10" i="3"/>
  <c r="AA12" i="3"/>
  <c r="F17" i="3"/>
  <c r="Q32" i="3"/>
  <c r="X40" i="3"/>
  <c r="G46" i="3"/>
  <c r="G62" i="3"/>
  <c r="B116" i="3"/>
  <c r="Z115" i="3"/>
  <c r="C115" i="3"/>
  <c r="Z8" i="3"/>
  <c r="W8" i="3" s="1"/>
  <c r="AA13" i="3"/>
  <c r="O22" i="3"/>
  <c r="M22" i="3"/>
  <c r="K22" i="3"/>
  <c r="I22" i="3"/>
  <c r="G22" i="3"/>
  <c r="AA22" i="3" s="1"/>
  <c r="U22" i="3"/>
  <c r="S22" i="3"/>
  <c r="P27" i="3"/>
  <c r="Z27" i="3" s="1"/>
  <c r="Q24" i="3"/>
  <c r="C26" i="3"/>
  <c r="AA26" i="3" s="1"/>
  <c r="C31" i="3"/>
  <c r="Q31" i="3"/>
  <c r="O31" i="3"/>
  <c r="M31" i="3"/>
  <c r="K31" i="3"/>
  <c r="I31" i="3"/>
  <c r="X32" i="3"/>
  <c r="X44" i="3" s="1"/>
  <c r="Z35" i="3"/>
  <c r="I35" i="3" s="1"/>
  <c r="P51" i="3"/>
  <c r="H70" i="3"/>
  <c r="Q92" i="3"/>
  <c r="J99" i="3"/>
  <c r="I96" i="3"/>
  <c r="Z9" i="3"/>
  <c r="S9" i="3"/>
  <c r="H11" i="3"/>
  <c r="I14" i="3"/>
  <c r="M16" i="3"/>
  <c r="U21" i="3"/>
  <c r="Y24" i="3"/>
  <c r="E24" i="3"/>
  <c r="W24" i="3"/>
  <c r="C24" i="3"/>
  <c r="U24" i="3"/>
  <c r="S24" i="3"/>
  <c r="K24" i="3"/>
  <c r="I24" i="3"/>
  <c r="O26" i="3"/>
  <c r="Z39" i="3"/>
  <c r="G39" i="3" s="1"/>
  <c r="C43" i="3"/>
  <c r="J51" i="3"/>
  <c r="M58" i="3"/>
  <c r="H113" i="3"/>
  <c r="Z109" i="3"/>
  <c r="I109" i="3"/>
  <c r="U9" i="3"/>
  <c r="E23" i="3"/>
  <c r="E43" i="3"/>
  <c r="O46" i="3"/>
  <c r="N48" i="3"/>
  <c r="B48" i="3"/>
  <c r="G49" i="3"/>
  <c r="M50" i="3"/>
  <c r="S67" i="3"/>
  <c r="B117" i="3"/>
  <c r="Z15" i="3"/>
  <c r="I15" i="3" s="1"/>
  <c r="Z20" i="3"/>
  <c r="O20" i="3" s="1"/>
  <c r="U31" i="3"/>
  <c r="M33" i="3"/>
  <c r="I33" i="3"/>
  <c r="G33" i="3"/>
  <c r="AA33" i="3" s="1"/>
  <c r="I49" i="3"/>
  <c r="S62" i="3"/>
  <c r="R65" i="3"/>
  <c r="M63" i="3"/>
  <c r="N106" i="3"/>
  <c r="O75" i="3"/>
  <c r="E84" i="3"/>
  <c r="U97" i="3"/>
  <c r="N113" i="3"/>
  <c r="K13" i="3"/>
  <c r="I18" i="3"/>
  <c r="AA18" i="3" s="1"/>
  <c r="W31" i="3"/>
  <c r="E37" i="3"/>
  <c r="AA37" i="3" s="1"/>
  <c r="Q43" i="3"/>
  <c r="M49" i="3"/>
  <c r="F70" i="3"/>
  <c r="U62" i="3"/>
  <c r="T65" i="3"/>
  <c r="Z74" i="3"/>
  <c r="Q74" i="3" s="1"/>
  <c r="P106" i="3"/>
  <c r="G84" i="3"/>
  <c r="C88" i="3"/>
  <c r="Z88" i="3"/>
  <c r="W97" i="3"/>
  <c r="P113" i="3"/>
  <c r="K111" i="3"/>
  <c r="U13" i="3"/>
  <c r="S18" i="3"/>
  <c r="R32" i="3"/>
  <c r="S29" i="3"/>
  <c r="O33" i="3"/>
  <c r="U37" i="3"/>
  <c r="F48" i="3"/>
  <c r="U50" i="3"/>
  <c r="G59" i="3"/>
  <c r="S60" i="3"/>
  <c r="R70" i="3"/>
  <c r="I62" i="3"/>
  <c r="H65" i="3"/>
  <c r="Z64" i="3"/>
  <c r="S64" i="3" s="1"/>
  <c r="Z75" i="3"/>
  <c r="C75" i="3" s="1"/>
  <c r="W90" i="3"/>
  <c r="E92" i="3"/>
  <c r="Y92" i="3"/>
  <c r="I97" i="3"/>
  <c r="Z90" i="3"/>
  <c r="G98" i="3"/>
  <c r="W13" i="3"/>
  <c r="U18" i="3"/>
  <c r="Z23" i="3"/>
  <c r="Q33" i="3"/>
  <c r="W37" i="3"/>
  <c r="W47" i="3"/>
  <c r="U47" i="3"/>
  <c r="Q47" i="3"/>
  <c r="M47" i="3"/>
  <c r="K47" i="3"/>
  <c r="T70" i="3"/>
  <c r="K62" i="3"/>
  <c r="D69" i="3"/>
  <c r="W77" i="3"/>
  <c r="S80" i="3"/>
  <c r="R81" i="3"/>
  <c r="Z84" i="3"/>
  <c r="C86" i="3"/>
  <c r="Q87" i="3"/>
  <c r="H104" i="3"/>
  <c r="I102" i="3"/>
  <c r="Z103" i="3"/>
  <c r="S103" i="3" s="1"/>
  <c r="Z110" i="3"/>
  <c r="I110" i="3" s="1"/>
  <c r="U90" i="3"/>
  <c r="W18" i="3"/>
  <c r="Z30" i="3"/>
  <c r="S33" i="3"/>
  <c r="Y41" i="3"/>
  <c r="U41" i="3"/>
  <c r="S41" i="3"/>
  <c r="AA41" i="3" s="1"/>
  <c r="I46" i="3"/>
  <c r="H48" i="3"/>
  <c r="G47" i="3"/>
  <c r="AA47" i="3" s="1"/>
  <c r="X51" i="3"/>
  <c r="Z57" i="3"/>
  <c r="M62" i="3"/>
  <c r="G63" i="3"/>
  <c r="X106" i="3"/>
  <c r="Y77" i="3"/>
  <c r="U78" i="3"/>
  <c r="T99" i="3"/>
  <c r="D104" i="3"/>
  <c r="F113" i="3"/>
  <c r="Z111" i="3"/>
  <c r="C111" i="3" s="1"/>
  <c r="U33" i="3"/>
  <c r="M37" i="3"/>
  <c r="I37" i="3"/>
  <c r="G37" i="3"/>
  <c r="L51" i="3"/>
  <c r="G50" i="3"/>
  <c r="M59" i="3"/>
  <c r="I77" i="3"/>
  <c r="Z77" i="3"/>
  <c r="L87" i="3"/>
  <c r="M86" i="3"/>
  <c r="M91" i="3"/>
  <c r="K92" i="3"/>
  <c r="M93" i="3"/>
  <c r="D113" i="3"/>
  <c r="X117" i="3"/>
  <c r="W33" i="3"/>
  <c r="Y78" i="3"/>
  <c r="Z82" i="3"/>
  <c r="C82" i="3"/>
  <c r="W86" i="3"/>
  <c r="U86" i="3"/>
  <c r="S86" i="3"/>
  <c r="K86" i="3"/>
  <c r="G86" i="3"/>
  <c r="E86" i="3"/>
  <c r="Y86" i="3"/>
  <c r="Q86" i="3"/>
  <c r="O86" i="3"/>
  <c r="O89" i="3"/>
  <c r="M92" i="3"/>
  <c r="Q97" i="3"/>
  <c r="N104" i="3"/>
  <c r="O102" i="3"/>
  <c r="C112" i="3"/>
  <c r="I57" i="3"/>
  <c r="X81" i="3"/>
  <c r="Z92" i="3"/>
  <c r="Q93" i="3"/>
  <c r="O94" i="3"/>
  <c r="M94" i="3"/>
  <c r="K94" i="3"/>
  <c r="I94" i="3"/>
  <c r="W94" i="3"/>
  <c r="S94" i="3"/>
  <c r="Q94" i="3"/>
  <c r="E97" i="3"/>
  <c r="K60" i="3"/>
  <c r="I59" i="3"/>
  <c r="L65" i="3"/>
  <c r="Z68" i="3"/>
  <c r="Q75" i="3"/>
  <c r="Z83" i="3"/>
  <c r="O83" i="3" s="1"/>
  <c r="E83" i="3"/>
  <c r="I84" i="3"/>
  <c r="Y90" i="3"/>
  <c r="C92" i="3"/>
  <c r="M96" i="3"/>
  <c r="G97" i="3"/>
  <c r="Q102" i="3"/>
  <c r="Y111" i="3"/>
  <c r="G53" i="3"/>
  <c r="O77" i="3"/>
  <c r="C87" i="3"/>
  <c r="K97" i="3"/>
  <c r="Z43" i="3"/>
  <c r="Y43" i="3" s="1"/>
  <c r="W45" i="3"/>
  <c r="U45" i="3"/>
  <c r="AA45" i="3" s="1"/>
  <c r="F54" i="3"/>
  <c r="P70" i="3"/>
  <c r="C63" i="3"/>
  <c r="O76" i="3"/>
  <c r="M76" i="3"/>
  <c r="AA76" i="3" s="1"/>
  <c r="I76" i="3"/>
  <c r="U76" i="3"/>
  <c r="S76" i="3"/>
  <c r="M88" i="3"/>
  <c r="W89" i="3"/>
  <c r="O91" i="3"/>
  <c r="V99" i="3"/>
  <c r="U110" i="3"/>
  <c r="I112" i="3"/>
  <c r="R117" i="3"/>
  <c r="W56" i="3"/>
  <c r="U56" i="3"/>
  <c r="S56" i="3"/>
  <c r="Q56" i="3"/>
  <c r="M56" i="3"/>
  <c r="K56" i="3"/>
  <c r="Q60" i="3"/>
  <c r="Z63" i="3"/>
  <c r="H106" i="3"/>
  <c r="I78" i="3"/>
  <c r="W78" i="3"/>
  <c r="K82" i="3"/>
  <c r="M98" i="3"/>
  <c r="Z105" i="3"/>
  <c r="V117" i="3"/>
  <c r="Z58" i="3"/>
  <c r="Q62" i="3"/>
  <c r="AA66" i="3"/>
  <c r="W67" i="3"/>
  <c r="Z87" i="3"/>
  <c r="S87" i="3" s="1"/>
  <c r="Q88" i="3"/>
  <c r="S91" i="3"/>
  <c r="O92" i="3"/>
  <c r="E94" i="3"/>
  <c r="AA94" i="3" s="1"/>
  <c r="P104" i="3"/>
  <c r="Y110" i="3"/>
  <c r="L81" i="3"/>
  <c r="L106" i="3" s="1"/>
  <c r="Z93" i="3"/>
  <c r="C95" i="3"/>
  <c r="Z98" i="3"/>
  <c r="C98" i="3" s="1"/>
  <c r="AA108" i="3"/>
  <c r="G111" i="3"/>
  <c r="O80" i="3"/>
  <c r="C89" i="3"/>
  <c r="E95" i="3"/>
  <c r="Z50" i="3"/>
  <c r="Z60" i="3"/>
  <c r="W63" i="3"/>
  <c r="V65" i="3"/>
  <c r="V70" i="3" s="1"/>
  <c r="Y66" i="3"/>
  <c r="W66" i="3"/>
  <c r="U66" i="3"/>
  <c r="AA101" i="3"/>
  <c r="J113" i="3"/>
  <c r="V51" i="3"/>
  <c r="Z59" i="3"/>
  <c r="Y63" i="3"/>
  <c r="B70" i="3"/>
  <c r="AA73" i="3"/>
  <c r="Z78" i="3"/>
  <c r="S88" i="3"/>
  <c r="R104" i="3"/>
  <c r="I63" i="3"/>
  <c r="F106" i="3"/>
  <c r="Z80" i="3"/>
  <c r="Z95" i="3"/>
  <c r="Z100" i="3"/>
  <c r="E112" i="3"/>
  <c r="S111" i="3"/>
  <c r="J69" i="3"/>
  <c r="V69" i="3"/>
  <c r="Y85" i="3"/>
  <c r="AA85" i="3" s="1"/>
  <c r="Z96" i="3"/>
  <c r="D99" i="3"/>
  <c r="P99" i="3"/>
  <c r="T113" i="3"/>
  <c r="L113" i="1"/>
  <c r="L117" i="1" s="1"/>
  <c r="H11" i="1"/>
  <c r="F104" i="1"/>
  <c r="D36" i="1"/>
  <c r="T11" i="1"/>
  <c r="D104" i="1"/>
  <c r="J113" i="1"/>
  <c r="J117" i="1" s="1"/>
  <c r="D51" i="1"/>
  <c r="D11" i="1"/>
  <c r="P11" i="1"/>
  <c r="X117" i="1"/>
  <c r="F113" i="1"/>
  <c r="F117" i="1" s="1"/>
  <c r="T51" i="1"/>
  <c r="N65" i="1"/>
  <c r="T99" i="1"/>
  <c r="T106" i="1" s="1"/>
  <c r="J17" i="1"/>
  <c r="V51" i="1"/>
  <c r="J69" i="1"/>
  <c r="F11" i="1"/>
  <c r="Z64" i="1"/>
  <c r="D99" i="1"/>
  <c r="N113" i="1"/>
  <c r="N117" i="1" s="1"/>
  <c r="J99" i="1"/>
  <c r="F69" i="1"/>
  <c r="R27" i="1"/>
  <c r="H69" i="1"/>
  <c r="R99" i="1"/>
  <c r="Z46" i="1"/>
  <c r="L60" i="1"/>
  <c r="N21" i="1"/>
  <c r="V32" i="1"/>
  <c r="V44" i="1" s="1"/>
  <c r="F48" i="1"/>
  <c r="F51" i="1" s="1"/>
  <c r="L69" i="1"/>
  <c r="X40" i="1"/>
  <c r="Z82" i="1"/>
  <c r="Z31" i="1"/>
  <c r="Z105" i="1"/>
  <c r="Z110" i="1"/>
  <c r="Z111" i="1"/>
  <c r="B113" i="1"/>
  <c r="B117" i="1" s="1"/>
  <c r="Z63" i="1"/>
  <c r="P51" i="1"/>
  <c r="X65" i="1"/>
  <c r="Z83" i="1"/>
  <c r="V99" i="1"/>
  <c r="V106" i="1" s="1"/>
  <c r="F65" i="1"/>
  <c r="Z95" i="1"/>
  <c r="Z96" i="1"/>
  <c r="R51" i="1"/>
  <c r="Z77" i="1"/>
  <c r="Z78" i="1"/>
  <c r="Z9" i="1"/>
  <c r="Z10" i="1"/>
  <c r="H99" i="1"/>
  <c r="H106" i="1" s="1"/>
  <c r="P117" i="1"/>
  <c r="F99" i="1"/>
  <c r="Z30" i="1"/>
  <c r="N69" i="1"/>
  <c r="Z92" i="1"/>
  <c r="J11" i="1"/>
  <c r="Z16" i="1"/>
  <c r="J21" i="1"/>
  <c r="Z25" i="1"/>
  <c r="F60" i="1"/>
  <c r="H65" i="1"/>
  <c r="B65" i="1"/>
  <c r="L87" i="1"/>
  <c r="Z87" i="1" s="1"/>
  <c r="Z93" i="1"/>
  <c r="B99" i="1"/>
  <c r="B106" i="1" s="1"/>
  <c r="R104" i="1"/>
  <c r="D113" i="1"/>
  <c r="D117" i="1" s="1"/>
  <c r="Z24" i="1"/>
  <c r="R32" i="1"/>
  <c r="Z38" i="1"/>
  <c r="L99" i="1"/>
  <c r="Z116" i="1"/>
  <c r="Z54" i="1"/>
  <c r="H60" i="1"/>
  <c r="Z62" i="1"/>
  <c r="X51" i="1"/>
  <c r="J60" i="1"/>
  <c r="P70" i="1"/>
  <c r="Z49" i="1"/>
  <c r="V69" i="1"/>
  <c r="N99" i="1"/>
  <c r="N106" i="1" s="1"/>
  <c r="N11" i="1"/>
  <c r="F17" i="1"/>
  <c r="B27" i="1"/>
  <c r="B44" i="1" s="1"/>
  <c r="Z35" i="1"/>
  <c r="L51" i="1"/>
  <c r="V65" i="1"/>
  <c r="R11" i="1"/>
  <c r="H17" i="1"/>
  <c r="R21" i="1"/>
  <c r="N51" i="1"/>
  <c r="H51" i="1"/>
  <c r="Z58" i="1"/>
  <c r="X69" i="1"/>
  <c r="P99" i="1"/>
  <c r="P106" i="1" s="1"/>
  <c r="Z100" i="1"/>
  <c r="R113" i="1"/>
  <c r="R117" i="1" s="1"/>
  <c r="L104" i="1"/>
  <c r="T21" i="1"/>
  <c r="X32" i="1"/>
  <c r="R65" i="1"/>
  <c r="R70" i="1" s="1"/>
  <c r="Z67" i="1"/>
  <c r="Z89" i="1"/>
  <c r="Z90" i="1"/>
  <c r="Z103" i="1"/>
  <c r="L17" i="1"/>
  <c r="L44" i="1" s="1"/>
  <c r="Z19" i="1"/>
  <c r="Z29" i="1"/>
  <c r="Z50" i="1"/>
  <c r="T113" i="1"/>
  <c r="T117" i="1" s="1"/>
  <c r="Z115" i="1"/>
  <c r="Z14" i="1"/>
  <c r="J104" i="1"/>
  <c r="Z20" i="1"/>
  <c r="V11" i="1"/>
  <c r="B48" i="1"/>
  <c r="B51" i="1" s="1"/>
  <c r="Z88" i="1"/>
  <c r="Z91" i="1"/>
  <c r="V117" i="1"/>
  <c r="B11" i="1"/>
  <c r="Z8" i="1"/>
  <c r="X11" i="1"/>
  <c r="Z15" i="1"/>
  <c r="Z42" i="1"/>
  <c r="Z53" i="1"/>
  <c r="Z59" i="1"/>
  <c r="Z76" i="1"/>
  <c r="Z84" i="1"/>
  <c r="X99" i="1"/>
  <c r="X106" i="1" s="1"/>
  <c r="Z97" i="1"/>
  <c r="Z98" i="1"/>
  <c r="Z81" i="1"/>
  <c r="Z43" i="1"/>
  <c r="D70" i="1"/>
  <c r="P44" i="1"/>
  <c r="T70" i="1"/>
  <c r="D27" i="1"/>
  <c r="T32" i="1"/>
  <c r="Z39" i="1"/>
  <c r="Z102" i="1"/>
  <c r="H36" i="1"/>
  <c r="J65" i="1"/>
  <c r="N17" i="1"/>
  <c r="F40" i="1"/>
  <c r="Z57" i="1"/>
  <c r="Z75" i="1"/>
  <c r="Z112" i="1"/>
  <c r="B60" i="1"/>
  <c r="Z34" i="1"/>
  <c r="Z80" i="1"/>
  <c r="H113" i="1"/>
  <c r="H117" i="1" s="1"/>
  <c r="Z68" i="1"/>
  <c r="AA39" i="4" l="1"/>
  <c r="AA11" i="4"/>
  <c r="AA86" i="4"/>
  <c r="AA54" i="4"/>
  <c r="Z76" i="4"/>
  <c r="B76" i="4" s="1"/>
  <c r="AA74" i="4"/>
  <c r="AA55" i="5"/>
  <c r="AA70" i="5"/>
  <c r="AA76" i="5"/>
  <c r="Z77" i="5"/>
  <c r="AA92" i="4"/>
  <c r="AA64" i="4"/>
  <c r="AA122" i="4"/>
  <c r="AA35" i="4"/>
  <c r="AA104" i="4"/>
  <c r="AA58" i="4"/>
  <c r="AA51" i="4"/>
  <c r="AA109" i="4"/>
  <c r="AA22" i="4"/>
  <c r="AA30" i="4"/>
  <c r="AA46" i="4"/>
  <c r="AA69" i="4"/>
  <c r="AA17" i="4"/>
  <c r="L111" i="4"/>
  <c r="J111" i="4"/>
  <c r="H111" i="4"/>
  <c r="T111" i="4"/>
  <c r="R111" i="4"/>
  <c r="X111" i="4"/>
  <c r="V111" i="4"/>
  <c r="N111" i="4"/>
  <c r="D111" i="4"/>
  <c r="B111" i="4"/>
  <c r="F111" i="4"/>
  <c r="P111" i="4"/>
  <c r="F75" i="4"/>
  <c r="D75" i="4"/>
  <c r="X75" i="4"/>
  <c r="L75" i="4"/>
  <c r="J75" i="4"/>
  <c r="H75" i="4"/>
  <c r="P75" i="4"/>
  <c r="N75" i="4"/>
  <c r="B75" i="4"/>
  <c r="T75" i="4"/>
  <c r="R75" i="4"/>
  <c r="V75" i="4"/>
  <c r="Z112" i="4"/>
  <c r="L76" i="4"/>
  <c r="R47" i="4"/>
  <c r="V47" i="4"/>
  <c r="X47" i="4"/>
  <c r="D47" i="4"/>
  <c r="B47" i="4"/>
  <c r="F47" i="4"/>
  <c r="L47" i="4"/>
  <c r="J47" i="4"/>
  <c r="H47" i="4"/>
  <c r="P47" i="4"/>
  <c r="N47" i="4"/>
  <c r="T47" i="4"/>
  <c r="Y11" i="3"/>
  <c r="K8" i="3"/>
  <c r="K27" i="3"/>
  <c r="I27" i="3"/>
  <c r="E27" i="3"/>
  <c r="U27" i="3"/>
  <c r="C27" i="3"/>
  <c r="W27" i="3"/>
  <c r="S27" i="3"/>
  <c r="M27" i="3"/>
  <c r="O27" i="3"/>
  <c r="Y27" i="3"/>
  <c r="G27" i="3"/>
  <c r="X71" i="3"/>
  <c r="O65" i="3"/>
  <c r="Q65" i="3"/>
  <c r="Y65" i="3"/>
  <c r="K65" i="3"/>
  <c r="G65" i="3"/>
  <c r="C65" i="3"/>
  <c r="Y36" i="3"/>
  <c r="K36" i="3"/>
  <c r="M36" i="3"/>
  <c r="C36" i="3"/>
  <c r="Q36" i="3"/>
  <c r="G36" i="3"/>
  <c r="O36" i="3"/>
  <c r="E36" i="3"/>
  <c r="S36" i="3"/>
  <c r="W36" i="3"/>
  <c r="U36" i="3"/>
  <c r="O82" i="3"/>
  <c r="M82" i="3"/>
  <c r="W82" i="3"/>
  <c r="U82" i="3"/>
  <c r="Q82" i="3"/>
  <c r="AA82" i="3" s="1"/>
  <c r="I82" i="3"/>
  <c r="G82" i="3"/>
  <c r="Y82" i="3"/>
  <c r="S82" i="3"/>
  <c r="E82" i="3"/>
  <c r="O30" i="3"/>
  <c r="K30" i="3"/>
  <c r="I30" i="3"/>
  <c r="S30" i="3"/>
  <c r="Q30" i="3"/>
  <c r="M30" i="3"/>
  <c r="U30" i="3"/>
  <c r="G30" i="3"/>
  <c r="C30" i="3"/>
  <c r="E30" i="3"/>
  <c r="Q99" i="3"/>
  <c r="D117" i="3"/>
  <c r="E113" i="3"/>
  <c r="S32" i="3"/>
  <c r="AA24" i="3"/>
  <c r="W43" i="3"/>
  <c r="E34" i="3"/>
  <c r="K43" i="3"/>
  <c r="AA52" i="3"/>
  <c r="V106" i="3"/>
  <c r="Z99" i="3"/>
  <c r="B44" i="3"/>
  <c r="Z17" i="3"/>
  <c r="C17" i="3" s="1"/>
  <c r="D51" i="3"/>
  <c r="D71" i="3" s="1"/>
  <c r="E48" i="3"/>
  <c r="S105" i="3"/>
  <c r="G105" i="3"/>
  <c r="Q105" i="3"/>
  <c r="E105" i="3"/>
  <c r="W105" i="3"/>
  <c r="M105" i="3"/>
  <c r="I105" i="3"/>
  <c r="U105" i="3"/>
  <c r="C105" i="3"/>
  <c r="AA88" i="3"/>
  <c r="Y60" i="3"/>
  <c r="O60" i="3"/>
  <c r="I60" i="3"/>
  <c r="C60" i="3"/>
  <c r="AA56" i="3"/>
  <c r="U99" i="3"/>
  <c r="E99" i="3"/>
  <c r="S95" i="3"/>
  <c r="K95" i="3"/>
  <c r="Y95" i="3"/>
  <c r="G95" i="3"/>
  <c r="AA95" i="3" s="1"/>
  <c r="U95" i="3"/>
  <c r="M95" i="3"/>
  <c r="W50" i="3"/>
  <c r="I50" i="3"/>
  <c r="S50" i="3"/>
  <c r="G83" i="3"/>
  <c r="I95" i="3"/>
  <c r="Q67" i="3"/>
  <c r="M65" i="3"/>
  <c r="E111" i="3"/>
  <c r="AA111" i="3" s="1"/>
  <c r="Y50" i="3"/>
  <c r="M84" i="3"/>
  <c r="O84" i="3"/>
  <c r="W84" i="3"/>
  <c r="U84" i="3"/>
  <c r="S84" i="3"/>
  <c r="C84" i="3"/>
  <c r="S90" i="3"/>
  <c r="G90" i="3"/>
  <c r="Q90" i="3"/>
  <c r="E90" i="3"/>
  <c r="M90" i="3"/>
  <c r="I90" i="3"/>
  <c r="O90" i="3"/>
  <c r="K11" i="3"/>
  <c r="K99" i="3"/>
  <c r="AA31" i="3"/>
  <c r="S21" i="3"/>
  <c r="Y38" i="3"/>
  <c r="M21" i="3"/>
  <c r="O43" i="3"/>
  <c r="K21" i="3"/>
  <c r="C90" i="3"/>
  <c r="AA90" i="3" s="1"/>
  <c r="W112" i="3"/>
  <c r="U112" i="3"/>
  <c r="S112" i="3"/>
  <c r="Q112" i="3"/>
  <c r="G112" i="3"/>
  <c r="Y112" i="3"/>
  <c r="M112" i="3"/>
  <c r="K112" i="3"/>
  <c r="O105" i="3"/>
  <c r="T106" i="3"/>
  <c r="G38" i="3"/>
  <c r="O32" i="3"/>
  <c r="N44" i="3"/>
  <c r="I48" i="3"/>
  <c r="H51" i="3"/>
  <c r="Y68" i="3"/>
  <c r="E68" i="3"/>
  <c r="U68" i="3"/>
  <c r="C68" i="3"/>
  <c r="Q68" i="3"/>
  <c r="W68" i="3"/>
  <c r="S68" i="3"/>
  <c r="O68" i="3"/>
  <c r="K57" i="3"/>
  <c r="M57" i="3"/>
  <c r="Y57" i="3"/>
  <c r="C57" i="3"/>
  <c r="U57" i="3"/>
  <c r="S57" i="3"/>
  <c r="Q57" i="3"/>
  <c r="W57" i="3"/>
  <c r="O57" i="3"/>
  <c r="E57" i="3"/>
  <c r="G57" i="3"/>
  <c r="Q100" i="3"/>
  <c r="E100" i="3"/>
  <c r="O100" i="3"/>
  <c r="C100" i="3"/>
  <c r="AA100" i="3" s="1"/>
  <c r="S100" i="3"/>
  <c r="G93" i="3"/>
  <c r="E93" i="3"/>
  <c r="K93" i="3"/>
  <c r="C93" i="3"/>
  <c r="W93" i="3"/>
  <c r="O93" i="3"/>
  <c r="Y105" i="3"/>
  <c r="AA86" i="3"/>
  <c r="I65" i="3"/>
  <c r="R44" i="3"/>
  <c r="O19" i="3"/>
  <c r="E19" i="3"/>
  <c r="C19" i="3"/>
  <c r="U19" i="3"/>
  <c r="Q19" i="3"/>
  <c r="I19" i="3"/>
  <c r="Y19" i="3"/>
  <c r="G19" i="3"/>
  <c r="W19" i="3"/>
  <c r="Q96" i="3"/>
  <c r="E96" i="3"/>
  <c r="O96" i="3"/>
  <c r="S96" i="3"/>
  <c r="U96" i="3"/>
  <c r="G96" i="3"/>
  <c r="E80" i="3"/>
  <c r="C80" i="3"/>
  <c r="I80" i="3"/>
  <c r="U80" i="3"/>
  <c r="G80" i="3"/>
  <c r="K80" i="3"/>
  <c r="W80" i="3"/>
  <c r="E59" i="3"/>
  <c r="U59" i="3"/>
  <c r="S59" i="3"/>
  <c r="Y59" i="3"/>
  <c r="Q59" i="3"/>
  <c r="O59" i="3"/>
  <c r="C59" i="3"/>
  <c r="S110" i="3"/>
  <c r="M80" i="3"/>
  <c r="U87" i="3"/>
  <c r="I87" i="3"/>
  <c r="K87" i="3"/>
  <c r="G87" i="3"/>
  <c r="W87" i="3"/>
  <c r="E87" i="3"/>
  <c r="I93" i="3"/>
  <c r="O103" i="3"/>
  <c r="K64" i="3"/>
  <c r="O104" i="3"/>
  <c r="E50" i="3"/>
  <c r="O95" i="3"/>
  <c r="Q84" i="3"/>
  <c r="I38" i="3"/>
  <c r="C96" i="3"/>
  <c r="B51" i="3"/>
  <c r="Z48" i="3"/>
  <c r="C48" i="3" s="1"/>
  <c r="K50" i="3"/>
  <c r="U93" i="3"/>
  <c r="U32" i="3"/>
  <c r="P44" i="3"/>
  <c r="K19" i="3"/>
  <c r="M14" i="3"/>
  <c r="K14" i="3"/>
  <c r="AA14" i="3" s="1"/>
  <c r="Q14" i="3"/>
  <c r="G14" i="3"/>
  <c r="E14" i="3"/>
  <c r="Y14" i="3"/>
  <c r="W14" i="3"/>
  <c r="U14" i="3"/>
  <c r="S14" i="3"/>
  <c r="K20" i="3"/>
  <c r="O112" i="3"/>
  <c r="AA112" i="3" s="1"/>
  <c r="Y102" i="3"/>
  <c r="M102" i="3"/>
  <c r="W102" i="3"/>
  <c r="K102" i="3"/>
  <c r="G102" i="3"/>
  <c r="U102" i="3"/>
  <c r="E102" i="3"/>
  <c r="S102" i="3"/>
  <c r="Q50" i="3"/>
  <c r="O14" i="3"/>
  <c r="O21" i="3"/>
  <c r="I36" i="3"/>
  <c r="E74" i="3"/>
  <c r="Y74" i="3"/>
  <c r="C74" i="3"/>
  <c r="W74" i="3"/>
  <c r="K74" i="3"/>
  <c r="G74" i="3"/>
  <c r="S74" i="3"/>
  <c r="M74" i="3"/>
  <c r="O74" i="3"/>
  <c r="U74" i="3"/>
  <c r="I74" i="3"/>
  <c r="T72" i="3"/>
  <c r="K110" i="3"/>
  <c r="E110" i="3"/>
  <c r="W110" i="3"/>
  <c r="P117" i="3"/>
  <c r="W30" i="3"/>
  <c r="S93" i="3"/>
  <c r="U92" i="3"/>
  <c r="I92" i="3"/>
  <c r="S92" i="3"/>
  <c r="G92" i="3"/>
  <c r="AA92" i="3" s="1"/>
  <c r="W92" i="3"/>
  <c r="S19" i="3"/>
  <c r="U35" i="3"/>
  <c r="Q35" i="3"/>
  <c r="O35" i="3"/>
  <c r="W35" i="3"/>
  <c r="S35" i="3"/>
  <c r="M35" i="3"/>
  <c r="K35" i="3"/>
  <c r="C35" i="3"/>
  <c r="G35" i="3"/>
  <c r="E35" i="3"/>
  <c r="Y35" i="3"/>
  <c r="W58" i="3"/>
  <c r="E58" i="3"/>
  <c r="U58" i="3"/>
  <c r="C58" i="3"/>
  <c r="S58" i="3"/>
  <c r="G58" i="3"/>
  <c r="Q58" i="3"/>
  <c r="O58" i="3"/>
  <c r="K58" i="3"/>
  <c r="Y58" i="3"/>
  <c r="M110" i="3"/>
  <c r="E103" i="3"/>
  <c r="E67" i="3"/>
  <c r="C32" i="3"/>
  <c r="U100" i="3"/>
  <c r="I11" i="3"/>
  <c r="Y32" i="3"/>
  <c r="I115" i="3"/>
  <c r="G115" i="3"/>
  <c r="AA115" i="3" s="1"/>
  <c r="E115" i="3"/>
  <c r="Y115" i="3"/>
  <c r="M115" i="3"/>
  <c r="U115" i="3"/>
  <c r="S115" i="3"/>
  <c r="O115" i="3"/>
  <c r="K115" i="3"/>
  <c r="Q115" i="3"/>
  <c r="W115" i="3"/>
  <c r="O38" i="3"/>
  <c r="AA46" i="3"/>
  <c r="W60" i="3"/>
  <c r="O11" i="3"/>
  <c r="AA91" i="3"/>
  <c r="V71" i="3"/>
  <c r="W11" i="3"/>
  <c r="C21" i="3"/>
  <c r="M11" i="3"/>
  <c r="M32" i="3"/>
  <c r="G54" i="3"/>
  <c r="Z104" i="3"/>
  <c r="AA102" i="3"/>
  <c r="K39" i="3"/>
  <c r="Q39" i="3"/>
  <c r="O39" i="3"/>
  <c r="M39" i="3"/>
  <c r="I39" i="3"/>
  <c r="W39" i="3"/>
  <c r="U39" i="3"/>
  <c r="C39" i="3"/>
  <c r="S39" i="3"/>
  <c r="E39" i="3"/>
  <c r="U8" i="3"/>
  <c r="S8" i="3"/>
  <c r="O67" i="3"/>
  <c r="G67" i="3"/>
  <c r="Y67" i="3"/>
  <c r="M67" i="3"/>
  <c r="I67" i="3"/>
  <c r="Z54" i="3"/>
  <c r="E54" i="3" s="1"/>
  <c r="E69" i="3"/>
  <c r="Z69" i="3"/>
  <c r="G48" i="3"/>
  <c r="F51" i="3"/>
  <c r="K68" i="3"/>
  <c r="M103" i="3"/>
  <c r="O8" i="3"/>
  <c r="Z81" i="3"/>
  <c r="S81" i="3" s="1"/>
  <c r="Y80" i="3"/>
  <c r="W59" i="3"/>
  <c r="I23" i="3"/>
  <c r="G23" i="3"/>
  <c r="Y23" i="3"/>
  <c r="C23" i="3"/>
  <c r="O23" i="3"/>
  <c r="M23" i="3"/>
  <c r="W23" i="3"/>
  <c r="U23" i="3"/>
  <c r="S23" i="3"/>
  <c r="Q23" i="3"/>
  <c r="K23" i="3"/>
  <c r="O87" i="3"/>
  <c r="AA87" i="3" s="1"/>
  <c r="O111" i="3"/>
  <c r="O63" i="3"/>
  <c r="Q63" i="3"/>
  <c r="S63" i="3"/>
  <c r="U63" i="3"/>
  <c r="K63" i="3"/>
  <c r="M87" i="3"/>
  <c r="Y84" i="3"/>
  <c r="E60" i="3"/>
  <c r="S65" i="3"/>
  <c r="K96" i="3"/>
  <c r="Z116" i="3"/>
  <c r="C116" i="3" s="1"/>
  <c r="K32" i="3"/>
  <c r="K46" i="3"/>
  <c r="S46" i="3"/>
  <c r="M46" i="3"/>
  <c r="Q46" i="3"/>
  <c r="Y46" i="3"/>
  <c r="W46" i="3"/>
  <c r="U46" i="3"/>
  <c r="AA62" i="3"/>
  <c r="W53" i="3"/>
  <c r="S53" i="3"/>
  <c r="Q53" i="3"/>
  <c r="O53" i="3"/>
  <c r="K53" i="3"/>
  <c r="I53" i="3"/>
  <c r="C53" i="3"/>
  <c r="Y53" i="3"/>
  <c r="U53" i="3"/>
  <c r="M53" i="3"/>
  <c r="E53" i="3"/>
  <c r="W32" i="3"/>
  <c r="O50" i="3"/>
  <c r="J117" i="3"/>
  <c r="K113" i="3"/>
  <c r="Y83" i="3"/>
  <c r="U83" i="3"/>
  <c r="Q83" i="3"/>
  <c r="I83" i="3"/>
  <c r="S83" i="3"/>
  <c r="M83" i="3"/>
  <c r="C83" i="3"/>
  <c r="W83" i="3"/>
  <c r="K83" i="3"/>
  <c r="E65" i="3"/>
  <c r="AA10" i="3"/>
  <c r="I32" i="3"/>
  <c r="C11" i="3"/>
  <c r="M68" i="3"/>
  <c r="W109" i="3"/>
  <c r="U109" i="3"/>
  <c r="S109" i="3"/>
  <c r="Q109" i="3"/>
  <c r="Y109" i="3"/>
  <c r="M109" i="3"/>
  <c r="K109" i="3"/>
  <c r="E109" i="3"/>
  <c r="C109" i="3"/>
  <c r="O109" i="3"/>
  <c r="G109" i="3"/>
  <c r="U65" i="3"/>
  <c r="F44" i="3"/>
  <c r="F71" i="3" s="1"/>
  <c r="G17" i="3"/>
  <c r="M19" i="3"/>
  <c r="U69" i="3"/>
  <c r="U111" i="3"/>
  <c r="W111" i="3"/>
  <c r="I111" i="3"/>
  <c r="K84" i="3"/>
  <c r="O78" i="3"/>
  <c r="C78" i="3"/>
  <c r="E78" i="3"/>
  <c r="K78" i="3"/>
  <c r="Q78" i="3"/>
  <c r="S78" i="3"/>
  <c r="M78" i="3"/>
  <c r="S98" i="3"/>
  <c r="Q98" i="3"/>
  <c r="O98" i="3"/>
  <c r="U98" i="3"/>
  <c r="K98" i="3"/>
  <c r="I98" i="3"/>
  <c r="Y98" i="3"/>
  <c r="E98" i="3"/>
  <c r="AA98" i="3" s="1"/>
  <c r="W96" i="3"/>
  <c r="E63" i="3"/>
  <c r="AA63" i="3" s="1"/>
  <c r="W95" i="3"/>
  <c r="I100" i="3"/>
  <c r="Q95" i="3"/>
  <c r="K67" i="3"/>
  <c r="G32" i="3"/>
  <c r="Q77" i="3"/>
  <c r="E77" i="3"/>
  <c r="K77" i="3"/>
  <c r="G77" i="3"/>
  <c r="C77" i="3"/>
  <c r="U77" i="3"/>
  <c r="S77" i="3"/>
  <c r="G113" i="3"/>
  <c r="F117" i="3"/>
  <c r="U60" i="3"/>
  <c r="I104" i="3"/>
  <c r="G64" i="3"/>
  <c r="Q80" i="3"/>
  <c r="Y96" i="3"/>
  <c r="G60" i="3"/>
  <c r="W100" i="3"/>
  <c r="K90" i="3"/>
  <c r="W9" i="3"/>
  <c r="K9" i="3"/>
  <c r="C9" i="3"/>
  <c r="Q9" i="3"/>
  <c r="O9" i="3"/>
  <c r="G11" i="3"/>
  <c r="AA49" i="3"/>
  <c r="Z40" i="3"/>
  <c r="Y40" i="3" s="1"/>
  <c r="M60" i="3"/>
  <c r="L70" i="3"/>
  <c r="J44" i="3"/>
  <c r="G9" i="3"/>
  <c r="I69" i="3"/>
  <c r="H44" i="3"/>
  <c r="L44" i="3"/>
  <c r="Y39" i="3"/>
  <c r="E46" i="3"/>
  <c r="S43" i="3"/>
  <c r="W20" i="3"/>
  <c r="G20" i="3"/>
  <c r="U20" i="3"/>
  <c r="E20" i="3"/>
  <c r="C20" i="3"/>
  <c r="Y20" i="3"/>
  <c r="M20" i="3"/>
  <c r="Q20" i="3"/>
  <c r="I20" i="3"/>
  <c r="Y8" i="3"/>
  <c r="M8" i="3"/>
  <c r="G8" i="3"/>
  <c r="E8" i="3"/>
  <c r="Q8" i="3"/>
  <c r="S104" i="3"/>
  <c r="J70" i="3"/>
  <c r="W15" i="3"/>
  <c r="E15" i="3"/>
  <c r="U15" i="3"/>
  <c r="C15" i="3"/>
  <c r="S15" i="3"/>
  <c r="Q15" i="3"/>
  <c r="M15" i="3"/>
  <c r="K15" i="3"/>
  <c r="G15" i="3"/>
  <c r="Y15" i="3"/>
  <c r="O15" i="3"/>
  <c r="Q27" i="3"/>
  <c r="I21" i="3"/>
  <c r="Q21" i="3"/>
  <c r="W21" i="3"/>
  <c r="K105" i="3"/>
  <c r="W103" i="3"/>
  <c r="K103" i="3"/>
  <c r="U103" i="3"/>
  <c r="I103" i="3"/>
  <c r="Y103" i="3"/>
  <c r="G103" i="3"/>
  <c r="C103" i="3"/>
  <c r="Q103" i="3"/>
  <c r="Q110" i="3"/>
  <c r="I113" i="3"/>
  <c r="H117" i="3"/>
  <c r="C67" i="3"/>
  <c r="AA67" i="3" s="1"/>
  <c r="M100" i="3"/>
  <c r="C50" i="3"/>
  <c r="Z113" i="3"/>
  <c r="D106" i="3"/>
  <c r="W65" i="3"/>
  <c r="M111" i="3"/>
  <c r="G68" i="3"/>
  <c r="I58" i="3"/>
  <c r="G110" i="3"/>
  <c r="K59" i="3"/>
  <c r="W98" i="3"/>
  <c r="C110" i="3"/>
  <c r="W75" i="3"/>
  <c r="K75" i="3"/>
  <c r="Y75" i="3"/>
  <c r="G75" i="3"/>
  <c r="I75" i="3"/>
  <c r="E75" i="3"/>
  <c r="AA75" i="3" s="1"/>
  <c r="M75" i="3"/>
  <c r="W88" i="3"/>
  <c r="U88" i="3"/>
  <c r="G88" i="3"/>
  <c r="K88" i="3"/>
  <c r="Y88" i="3"/>
  <c r="E88" i="3"/>
  <c r="O88" i="3"/>
  <c r="I88" i="3"/>
  <c r="O113" i="3"/>
  <c r="N117" i="3"/>
  <c r="Z117" i="3" s="1"/>
  <c r="D70" i="3"/>
  <c r="Y93" i="3"/>
  <c r="I8" i="3"/>
  <c r="C29" i="3"/>
  <c r="W29" i="3"/>
  <c r="U29" i="3"/>
  <c r="I29" i="3"/>
  <c r="G29" i="3"/>
  <c r="Q29" i="3"/>
  <c r="O29" i="3"/>
  <c r="M29" i="3"/>
  <c r="K29" i="3"/>
  <c r="E29" i="3"/>
  <c r="E11" i="3"/>
  <c r="M43" i="3"/>
  <c r="Q11" i="3"/>
  <c r="I68" i="3"/>
  <c r="G43" i="3"/>
  <c r="AA43" i="3" s="1"/>
  <c r="N51" i="3"/>
  <c r="O48" i="3"/>
  <c r="AA89" i="3"/>
  <c r="S20" i="3"/>
  <c r="U113" i="3"/>
  <c r="T117" i="3"/>
  <c r="M64" i="3"/>
  <c r="Q64" i="3"/>
  <c r="O64" i="3"/>
  <c r="E64" i="3"/>
  <c r="W64" i="3"/>
  <c r="U64" i="3"/>
  <c r="I64" i="3"/>
  <c r="C64" i="3"/>
  <c r="Y64" i="3"/>
  <c r="O110" i="3"/>
  <c r="C8" i="3"/>
  <c r="G21" i="3"/>
  <c r="K100" i="3"/>
  <c r="Y34" i="3"/>
  <c r="W34" i="3"/>
  <c r="S34" i="3"/>
  <c r="Q34" i="3"/>
  <c r="O34" i="3"/>
  <c r="M34" i="3"/>
  <c r="K34" i="3"/>
  <c r="U34" i="3"/>
  <c r="I34" i="3"/>
  <c r="G34" i="3"/>
  <c r="AA34" i="3" s="1"/>
  <c r="AA97" i="3"/>
  <c r="M42" i="3"/>
  <c r="U42" i="3"/>
  <c r="C42" i="3"/>
  <c r="S42" i="3"/>
  <c r="Q42" i="3"/>
  <c r="I42" i="3"/>
  <c r="Y42" i="3"/>
  <c r="G42" i="3"/>
  <c r="W42" i="3"/>
  <c r="O42" i="3"/>
  <c r="K42" i="3"/>
  <c r="E42" i="3"/>
  <c r="Y100" i="3"/>
  <c r="U38" i="3"/>
  <c r="E38" i="3"/>
  <c r="C38" i="3"/>
  <c r="W38" i="3"/>
  <c r="S38" i="3"/>
  <c r="K38" i="3"/>
  <c r="E21" i="3"/>
  <c r="Z36" i="1"/>
  <c r="D44" i="1"/>
  <c r="D71" i="1" s="1"/>
  <c r="D72" i="1" s="1"/>
  <c r="D106" i="1"/>
  <c r="L70" i="1"/>
  <c r="L71" i="1" s="1"/>
  <c r="L72" i="1" s="1"/>
  <c r="R106" i="1"/>
  <c r="J106" i="1"/>
  <c r="R44" i="1"/>
  <c r="R71" i="1" s="1"/>
  <c r="R72" i="1" s="1"/>
  <c r="T44" i="1"/>
  <c r="T71" i="1" s="1"/>
  <c r="T72" i="1" s="1"/>
  <c r="T107" i="1" s="1"/>
  <c r="T118" i="1" s="1"/>
  <c r="N70" i="1"/>
  <c r="X70" i="1"/>
  <c r="Z21" i="1"/>
  <c r="Z69" i="1"/>
  <c r="Z104" i="1"/>
  <c r="J44" i="1"/>
  <c r="Z11" i="1"/>
  <c r="Z32" i="1"/>
  <c r="P71" i="1"/>
  <c r="P72" i="1" s="1"/>
  <c r="P107" i="1" s="1"/>
  <c r="P118" i="1" s="1"/>
  <c r="X44" i="1"/>
  <c r="Z51" i="1"/>
  <c r="Z40" i="1"/>
  <c r="N44" i="1"/>
  <c r="Z99" i="1"/>
  <c r="L106" i="1"/>
  <c r="H70" i="1"/>
  <c r="F70" i="1"/>
  <c r="Z27" i="1"/>
  <c r="V70" i="1"/>
  <c r="V71" i="1" s="1"/>
  <c r="V72" i="1" s="1"/>
  <c r="V107" i="1" s="1"/>
  <c r="V118" i="1" s="1"/>
  <c r="H44" i="1"/>
  <c r="Z48" i="1"/>
  <c r="F106" i="1"/>
  <c r="F44" i="1"/>
  <c r="Z65" i="1"/>
  <c r="J70" i="1"/>
  <c r="Z60" i="1"/>
  <c r="B70" i="1"/>
  <c r="Z17" i="1"/>
  <c r="Z117" i="1"/>
  <c r="Z113" i="1"/>
  <c r="T76" i="4" l="1"/>
  <c r="N76" i="4"/>
  <c r="V76" i="4"/>
  <c r="P76" i="4"/>
  <c r="D76" i="4"/>
  <c r="AA76" i="4" s="1"/>
  <c r="R76" i="4"/>
  <c r="H76" i="4"/>
  <c r="J76" i="4"/>
  <c r="X76" i="4"/>
  <c r="F76" i="4"/>
  <c r="AA112" i="5"/>
  <c r="AA48" i="5"/>
  <c r="AA111" i="4"/>
  <c r="AA75" i="4"/>
  <c r="AA47" i="4"/>
  <c r="F112" i="4"/>
  <c r="L112" i="4"/>
  <c r="J112" i="4"/>
  <c r="H112" i="4"/>
  <c r="P112" i="4"/>
  <c r="N112" i="4"/>
  <c r="T112" i="4"/>
  <c r="R112" i="4"/>
  <c r="X112" i="4"/>
  <c r="V112" i="4"/>
  <c r="D112" i="4"/>
  <c r="B112" i="4"/>
  <c r="Z123" i="4"/>
  <c r="M117" i="3"/>
  <c r="W117" i="3"/>
  <c r="C117" i="3"/>
  <c r="S117" i="3"/>
  <c r="Y117" i="3"/>
  <c r="F72" i="3"/>
  <c r="D72" i="3"/>
  <c r="P71" i="3"/>
  <c r="AA109" i="3"/>
  <c r="AA29" i="3"/>
  <c r="U104" i="3"/>
  <c r="Y104" i="3"/>
  <c r="K104" i="3"/>
  <c r="W104" i="3"/>
  <c r="G104" i="3"/>
  <c r="AA65" i="3"/>
  <c r="E70" i="3"/>
  <c r="AA64" i="3"/>
  <c r="U117" i="3"/>
  <c r="I117" i="3"/>
  <c r="M44" i="3"/>
  <c r="L71" i="3"/>
  <c r="G117" i="3"/>
  <c r="C104" i="3"/>
  <c r="T107" i="3"/>
  <c r="O17" i="3"/>
  <c r="AA30" i="3"/>
  <c r="AA11" i="3"/>
  <c r="AA15" i="3"/>
  <c r="M17" i="3"/>
  <c r="AA23" i="3"/>
  <c r="I44" i="3"/>
  <c r="AA9" i="3"/>
  <c r="K117" i="3"/>
  <c r="C69" i="3"/>
  <c r="Y69" i="3"/>
  <c r="Q69" i="3"/>
  <c r="O69" i="3"/>
  <c r="G69" i="3"/>
  <c r="M69" i="3"/>
  <c r="S69" i="3"/>
  <c r="AA39" i="3"/>
  <c r="M104" i="3"/>
  <c r="AA35" i="3"/>
  <c r="O116" i="3"/>
  <c r="I116" i="3"/>
  <c r="U116" i="3"/>
  <c r="G116" i="3"/>
  <c r="Q116" i="3"/>
  <c r="E116" i="3"/>
  <c r="AA116" i="3" s="1"/>
  <c r="W116" i="3"/>
  <c r="K116" i="3"/>
  <c r="S116" i="3"/>
  <c r="M116" i="3"/>
  <c r="Y116" i="3"/>
  <c r="G44" i="3"/>
  <c r="AA27" i="3"/>
  <c r="AA77" i="3"/>
  <c r="AA105" i="3"/>
  <c r="M70" i="3"/>
  <c r="O81" i="3"/>
  <c r="E81" i="3"/>
  <c r="C81" i="3"/>
  <c r="Q81" i="3"/>
  <c r="K81" i="3"/>
  <c r="W81" i="3"/>
  <c r="G81" i="3"/>
  <c r="U81" i="3"/>
  <c r="I81" i="3"/>
  <c r="AA21" i="3"/>
  <c r="AA59" i="3"/>
  <c r="AA80" i="3"/>
  <c r="AA93" i="3"/>
  <c r="AA68" i="3"/>
  <c r="AA103" i="3"/>
  <c r="Q104" i="3"/>
  <c r="H71" i="3"/>
  <c r="AA58" i="3"/>
  <c r="Q117" i="3"/>
  <c r="Z44" i="3"/>
  <c r="O44" i="3" s="1"/>
  <c r="C44" i="3"/>
  <c r="B71" i="3"/>
  <c r="E117" i="3"/>
  <c r="X72" i="3"/>
  <c r="Q17" i="3"/>
  <c r="E17" i="3"/>
  <c r="AA17" i="3" s="1"/>
  <c r="W17" i="3"/>
  <c r="U17" i="3"/>
  <c r="I17" i="3"/>
  <c r="K17" i="3"/>
  <c r="S17" i="3"/>
  <c r="Y17" i="3"/>
  <c r="AA78" i="3"/>
  <c r="AA83" i="3"/>
  <c r="M81" i="3"/>
  <c r="Y113" i="3"/>
  <c r="W113" i="3"/>
  <c r="M113" i="3"/>
  <c r="C113" i="3"/>
  <c r="AA113" i="3" s="1"/>
  <c r="S113" i="3"/>
  <c r="W40" i="3"/>
  <c r="Q40" i="3"/>
  <c r="E40" i="3"/>
  <c r="C40" i="3"/>
  <c r="I40" i="3"/>
  <c r="U40" i="3"/>
  <c r="K40" i="3"/>
  <c r="S40" i="3"/>
  <c r="M40" i="3"/>
  <c r="O40" i="3"/>
  <c r="V72" i="3"/>
  <c r="Q113" i="3"/>
  <c r="Y48" i="3"/>
  <c r="K48" i="3"/>
  <c r="AA48" i="3" s="1"/>
  <c r="W48" i="3"/>
  <c r="S48" i="3"/>
  <c r="U48" i="3"/>
  <c r="Q48" i="3"/>
  <c r="M48" i="3"/>
  <c r="AA19" i="3"/>
  <c r="AA84" i="3"/>
  <c r="G40" i="3"/>
  <c r="C99" i="3"/>
  <c r="G99" i="3"/>
  <c r="S99" i="3"/>
  <c r="M99" i="3"/>
  <c r="Y99" i="3"/>
  <c r="I99" i="3"/>
  <c r="O99" i="3"/>
  <c r="W69" i="3"/>
  <c r="O117" i="3"/>
  <c r="AA38" i="3"/>
  <c r="AA42" i="3"/>
  <c r="AA50" i="3"/>
  <c r="Y81" i="3"/>
  <c r="AA32" i="3"/>
  <c r="Z51" i="3"/>
  <c r="Z106" i="3"/>
  <c r="W106" i="3" s="1"/>
  <c r="AA20" i="3"/>
  <c r="W54" i="3"/>
  <c r="U54" i="3"/>
  <c r="O54" i="3"/>
  <c r="Q54" i="3"/>
  <c r="C54" i="3"/>
  <c r="K54" i="3"/>
  <c r="I54" i="3"/>
  <c r="Y54" i="3"/>
  <c r="S54" i="3"/>
  <c r="M54" i="3"/>
  <c r="K44" i="3"/>
  <c r="J71" i="3"/>
  <c r="AA36" i="3"/>
  <c r="AA8" i="3"/>
  <c r="E104" i="3"/>
  <c r="AA110" i="3"/>
  <c r="K69" i="3"/>
  <c r="AA53" i="3"/>
  <c r="N71" i="3"/>
  <c r="AA96" i="3"/>
  <c r="AA57" i="3"/>
  <c r="I51" i="3"/>
  <c r="W99" i="3"/>
  <c r="Z70" i="3"/>
  <c r="AA74" i="3"/>
  <c r="R71" i="3"/>
  <c r="AA60" i="3"/>
  <c r="R107" i="1"/>
  <c r="R118" i="1" s="1"/>
  <c r="D107" i="1"/>
  <c r="D118" i="1" s="1"/>
  <c r="L107" i="1"/>
  <c r="L118" i="1" s="1"/>
  <c r="N71" i="1"/>
  <c r="N72" i="1" s="1"/>
  <c r="N107" i="1" s="1"/>
  <c r="N118" i="1" s="1"/>
  <c r="X71" i="1"/>
  <c r="X72" i="1" s="1"/>
  <c r="X107" i="1" s="1"/>
  <c r="X118" i="1" s="1"/>
  <c r="F71" i="1"/>
  <c r="F72" i="1" s="1"/>
  <c r="F107" i="1" s="1"/>
  <c r="F118" i="1" s="1"/>
  <c r="Z106" i="1"/>
  <c r="H71" i="1"/>
  <c r="H72" i="1" s="1"/>
  <c r="H107" i="1" s="1"/>
  <c r="H118" i="1" s="1"/>
  <c r="J71" i="1"/>
  <c r="J72" i="1" s="1"/>
  <c r="J107" i="1" s="1"/>
  <c r="J118" i="1" s="1"/>
  <c r="Z44" i="1"/>
  <c r="Z70" i="1"/>
  <c r="B71" i="1"/>
  <c r="Z124" i="5" l="1"/>
  <c r="AA77" i="5"/>
  <c r="AA112" i="4"/>
  <c r="P123" i="4"/>
  <c r="N123" i="4"/>
  <c r="T123" i="4"/>
  <c r="V123" i="4"/>
  <c r="X123" i="4"/>
  <c r="B123" i="4"/>
  <c r="R123" i="4"/>
  <c r="F123" i="4"/>
  <c r="L123" i="4"/>
  <c r="J123" i="4"/>
  <c r="H123" i="4"/>
  <c r="D123" i="4"/>
  <c r="D107" i="3"/>
  <c r="AA40" i="3"/>
  <c r="Z71" i="3"/>
  <c r="O71" i="3" s="1"/>
  <c r="B72" i="3"/>
  <c r="T118" i="3"/>
  <c r="M106" i="3"/>
  <c r="C106" i="3"/>
  <c r="O106" i="3"/>
  <c r="K106" i="3"/>
  <c r="Y106" i="3"/>
  <c r="I106" i="3"/>
  <c r="G106" i="3"/>
  <c r="S106" i="3"/>
  <c r="Q106" i="3"/>
  <c r="S51" i="3"/>
  <c r="K51" i="3"/>
  <c r="U51" i="3"/>
  <c r="Y51" i="3"/>
  <c r="M51" i="3"/>
  <c r="Q51" i="3"/>
  <c r="W51" i="3"/>
  <c r="O51" i="3"/>
  <c r="N72" i="3"/>
  <c r="C51" i="3"/>
  <c r="AA69" i="3"/>
  <c r="X107" i="3"/>
  <c r="F107" i="3"/>
  <c r="W44" i="3"/>
  <c r="E44" i="3"/>
  <c r="AA44" i="3" s="1"/>
  <c r="U44" i="3"/>
  <c r="Y44" i="3"/>
  <c r="AA104" i="3"/>
  <c r="AA54" i="3"/>
  <c r="AA99" i="3"/>
  <c r="V107" i="3"/>
  <c r="L72" i="3"/>
  <c r="H72" i="3"/>
  <c r="AA117" i="3"/>
  <c r="S44" i="3"/>
  <c r="E106" i="3"/>
  <c r="R72" i="3"/>
  <c r="E51" i="3"/>
  <c r="U106" i="3"/>
  <c r="P72" i="3"/>
  <c r="Y70" i="3"/>
  <c r="O70" i="3"/>
  <c r="W70" i="3"/>
  <c r="U70" i="3"/>
  <c r="C70" i="3"/>
  <c r="Q70" i="3"/>
  <c r="G70" i="3"/>
  <c r="S70" i="3"/>
  <c r="I70" i="3"/>
  <c r="J72" i="3"/>
  <c r="K70" i="3"/>
  <c r="AA81" i="3"/>
  <c r="G51" i="3"/>
  <c r="Q44" i="3"/>
  <c r="Z71" i="1"/>
  <c r="B72" i="1"/>
  <c r="AA113" i="5" l="1"/>
  <c r="AA123" i="4"/>
  <c r="AA106" i="3"/>
  <c r="Q71" i="3"/>
  <c r="L107" i="3"/>
  <c r="J107" i="3"/>
  <c r="V118" i="3"/>
  <c r="X118" i="3"/>
  <c r="H107" i="3"/>
  <c r="F118" i="3"/>
  <c r="M71" i="3"/>
  <c r="P107" i="3"/>
  <c r="K71" i="3"/>
  <c r="C71" i="3"/>
  <c r="I71" i="3"/>
  <c r="B107" i="3"/>
  <c r="Z72" i="3"/>
  <c r="S71" i="3"/>
  <c r="AA51" i="3"/>
  <c r="R107" i="3"/>
  <c r="N107" i="3"/>
  <c r="U71" i="3"/>
  <c r="Y71" i="3"/>
  <c r="W71" i="3"/>
  <c r="E71" i="3"/>
  <c r="G71" i="3"/>
  <c r="AA70" i="3"/>
  <c r="D118" i="3"/>
  <c r="B107" i="1"/>
  <c r="Z72" i="1"/>
  <c r="AA124" i="5" l="1"/>
  <c r="U72" i="3"/>
  <c r="E72" i="3"/>
  <c r="Y72" i="3"/>
  <c r="W72" i="3"/>
  <c r="G72" i="3"/>
  <c r="AA71" i="3"/>
  <c r="C72" i="3"/>
  <c r="O72" i="3"/>
  <c r="Q72" i="3"/>
  <c r="K72" i="3"/>
  <c r="Z107" i="3"/>
  <c r="K107" i="3" s="1"/>
  <c r="B118" i="3"/>
  <c r="S72" i="3"/>
  <c r="L118" i="3"/>
  <c r="N118" i="3"/>
  <c r="R118" i="3"/>
  <c r="M72" i="3"/>
  <c r="I72" i="3"/>
  <c r="P118" i="3"/>
  <c r="J118" i="3"/>
  <c r="H118" i="3"/>
  <c r="B118" i="1"/>
  <c r="Z118" i="1" s="1"/>
  <c r="Z107" i="1"/>
  <c r="Q107" i="3" l="1"/>
  <c r="S107" i="3"/>
  <c r="O107" i="3"/>
  <c r="I107" i="3"/>
  <c r="M107" i="3"/>
  <c r="AA72" i="3"/>
  <c r="Z118" i="3"/>
  <c r="U107" i="3"/>
  <c r="E107" i="3"/>
  <c r="G107" i="3"/>
  <c r="Y107" i="3"/>
  <c r="W107" i="3"/>
  <c r="C107" i="3"/>
  <c r="U118" i="3" l="1"/>
  <c r="E118" i="3"/>
  <c r="G118" i="3"/>
  <c r="Y118" i="3"/>
  <c r="W118" i="3"/>
  <c r="K118" i="3"/>
  <c r="I118" i="3"/>
  <c r="Q118" i="3"/>
  <c r="C118" i="3"/>
  <c r="M118" i="3"/>
  <c r="AA107" i="3"/>
  <c r="O118" i="3"/>
  <c r="S118" i="3"/>
  <c r="AA118" i="3" l="1"/>
  <c r="C124" i="5" l="1"/>
  <c r="C10" i="5"/>
  <c r="C11" i="5"/>
  <c r="C8" i="5"/>
  <c r="C12" i="5"/>
  <c r="C77" i="5"/>
  <c r="C113" i="5"/>
  <c r="E124" i="5"/>
  <c r="E113" i="5"/>
  <c r="E77" i="5"/>
  <c r="E12" i="5"/>
  <c r="E10" i="5"/>
  <c r="E11" i="5"/>
  <c r="E8" i="5"/>
  <c r="O10" i="5"/>
  <c r="O11" i="5"/>
  <c r="O8" i="5"/>
  <c r="O12" i="5"/>
  <c r="O77" i="5"/>
  <c r="O113" i="5"/>
  <c r="O124" i="5"/>
  <c r="G10" i="5"/>
  <c r="G11" i="5"/>
  <c r="G8" i="5"/>
  <c r="G12" i="5"/>
  <c r="G77" i="5"/>
  <c r="G113" i="5"/>
  <c r="G124" i="5"/>
  <c r="Q10" i="5"/>
  <c r="Q11" i="5"/>
  <c r="Q8" i="5"/>
  <c r="Q12" i="5"/>
  <c r="Q77" i="5"/>
  <c r="Q113" i="5"/>
  <c r="Q124" i="5"/>
  <c r="W124" i="5"/>
  <c r="W113" i="5"/>
  <c r="W10" i="5"/>
  <c r="W11" i="5"/>
  <c r="W8" i="5"/>
  <c r="W12" i="5"/>
  <c r="W77" i="5"/>
  <c r="M10" i="5"/>
  <c r="M11" i="5"/>
  <c r="M8" i="5"/>
  <c r="M12" i="5"/>
  <c r="M77" i="5"/>
  <c r="M113" i="5"/>
  <c r="M124" i="5"/>
  <c r="S10" i="5"/>
  <c r="S11" i="5"/>
  <c r="S8" i="5"/>
  <c r="S12" i="5"/>
  <c r="S77" i="5"/>
  <c r="S113" i="5"/>
  <c r="S124" i="5"/>
  <c r="K124" i="5"/>
  <c r="K10" i="5"/>
  <c r="K11" i="5"/>
  <c r="K8" i="5"/>
  <c r="K12" i="5"/>
  <c r="K77" i="5"/>
  <c r="K113" i="5"/>
  <c r="I124" i="5"/>
  <c r="I113" i="5"/>
  <c r="I10" i="5"/>
  <c r="I11" i="5"/>
  <c r="I8" i="5"/>
  <c r="I12" i="5"/>
  <c r="I77" i="5"/>
  <c r="U124" i="5"/>
  <c r="U10" i="5"/>
  <c r="U11" i="5"/>
  <c r="U8" i="5"/>
  <c r="U12" i="5"/>
  <c r="U77" i="5"/>
  <c r="U113" i="5"/>
</calcChain>
</file>

<file path=xl/sharedStrings.xml><?xml version="1.0" encoding="utf-8"?>
<sst xmlns="http://schemas.openxmlformats.org/spreadsheetml/2006/main" count="549" uniqueCount="138">
  <si>
    <t>Jan 2024</t>
  </si>
  <si>
    <t>Feb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</si>
  <si>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</si>
  <si>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</si>
  <si>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</si>
  <si>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</si>
  <si>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</si>
  <si>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</si>
  <si>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</si>
  <si>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</si>
  <si>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</si>
  <si>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Total</t>
  </si>
  <si>
    <t>Income</t>
  </si>
  <si>
    <t xml:space="preserve">   4010 MEMBERSHIP INCOME</t>
  </si>
  <si>
    <t xml:space="preserve">      4011 Admin Fees Income</t>
  </si>
  <si>
    <t xml:space="preserve">      4012 Renewal Member Dues Income</t>
  </si>
  <si>
    <t xml:space="preserve">      4013 New Member Dues Income</t>
  </si>
  <si>
    <t xml:space="preserve">   Total 4010 MEMBERSHIP INCOME</t>
  </si>
  <si>
    <t xml:space="preserve">   4100 EVENTS INCOME</t>
  </si>
  <si>
    <t xml:space="preserve">      4110 Valor Awards Income</t>
  </si>
  <si>
    <t xml:space="preserve">         4111 Valor Awards Sponsorship Income</t>
  </si>
  <si>
    <t xml:space="preserve">         4112 Valor Awards Attendee Income</t>
  </si>
  <si>
    <t xml:space="preserve">         4115 Valor Awards Expense</t>
  </si>
  <si>
    <t xml:space="preserve">      Total 4110 Valor Awards Income</t>
  </si>
  <si>
    <t xml:space="preserve">      4120 Festival Income</t>
  </si>
  <si>
    <t xml:space="preserve">         4123 Festival Booth Fees Income</t>
  </si>
  <si>
    <t xml:space="preserve">         4125 Festival Expense</t>
  </si>
  <si>
    <t xml:space="preserve">      Total 4120 Festival Income</t>
  </si>
  <si>
    <t xml:space="preserve">      4130 Legislative Events Income</t>
  </si>
  <si>
    <t xml:space="preserve">         4131 Legislative Events Sponsorship Income</t>
  </si>
  <si>
    <t xml:space="preserve">         4132 Legislative Events Attendee Income</t>
  </si>
  <si>
    <t xml:space="preserve">         4135 Legislativ Events Expense</t>
  </si>
  <si>
    <t xml:space="preserve">         4137 Economic Summit Attendee Income</t>
  </si>
  <si>
    <t xml:space="preserve">      Total 4130 Legislative Events Income</t>
  </si>
  <si>
    <t xml:space="preserve">      4140 Gala Income</t>
  </si>
  <si>
    <t xml:space="preserve">         4141 Gala Sponsorshop Income</t>
  </si>
  <si>
    <t xml:space="preserve">         4142 Gala Attendee Income</t>
  </si>
  <si>
    <t xml:space="preserve">         4145 Gala Expense</t>
  </si>
  <si>
    <t xml:space="preserve">      Total 4140 Gala Income</t>
  </si>
  <si>
    <t xml:space="preserve">      4160 Member Orientation</t>
  </si>
  <si>
    <t xml:space="preserve">         4161 Member Orientation Sponsorship</t>
  </si>
  <si>
    <t xml:space="preserve">         4165 Member Orientation Expenses</t>
  </si>
  <si>
    <t xml:space="preserve">      Total 4160 Member Orientation</t>
  </si>
  <si>
    <t xml:space="preserve">      4170 After 5</t>
  </si>
  <si>
    <t xml:space="preserve">         4171 After 5 Sponsorship</t>
  </si>
  <si>
    <t xml:space="preserve">         4175 After 5 Expense</t>
  </si>
  <si>
    <t xml:space="preserve">      Total 4170 After 5</t>
  </si>
  <si>
    <t xml:space="preserve">      4180 Coffee &amp; Commerce</t>
  </si>
  <si>
    <t xml:space="preserve">         4185 Coffee &amp; Commerce Expenses</t>
  </si>
  <si>
    <t xml:space="preserve">      Total 4180 Coffee &amp; Commerce</t>
  </si>
  <si>
    <t xml:space="preserve">   Total 4100 EVENTS INCOME</t>
  </si>
  <si>
    <t xml:space="preserve">   4200 NON DUES INCOME</t>
  </si>
  <si>
    <t xml:space="preserve">      4204 Corporate Sponsorship Income</t>
  </si>
  <si>
    <t xml:space="preserve">         4209 Corp Sponsors to Event Sponsors</t>
  </si>
  <si>
    <t xml:space="preserve">      Total 4204 Corporate Sponsorship Income</t>
  </si>
  <si>
    <t xml:space="preserve">      4208 Advertising Sponsorships</t>
  </si>
  <si>
    <t xml:space="preserve">      4800 Donated "Rent" Income-New Space</t>
  </si>
  <si>
    <t xml:space="preserve">   Total 4200 NON DUES INCOME</t>
  </si>
  <si>
    <t xml:space="preserve">   4300 ADVERTISING INCOME</t>
  </si>
  <si>
    <t xml:space="preserve">      4314 Online Business Listing Only Income</t>
  </si>
  <si>
    <t xml:space="preserve">   Total 4300 ADVERTISING INCOME</t>
  </si>
  <si>
    <t xml:space="preserve">   4400 MEMBERSHIP ACTIVITIES INCOME</t>
  </si>
  <si>
    <t xml:space="preserve">      4410 FYPG Events Income</t>
  </si>
  <si>
    <t xml:space="preserve">         4411 FYPG Events Sponsorship Income</t>
  </si>
  <si>
    <t xml:space="preserve">         4412 FYPG Events Attendee Income</t>
  </si>
  <si>
    <t xml:space="preserve">         4415 FYPG Events Expense</t>
  </si>
  <si>
    <t xml:space="preserve">      Total 4410 FYPG Events Income</t>
  </si>
  <si>
    <t xml:space="preserve">      4420 WBC Events Income</t>
  </si>
  <si>
    <t xml:space="preserve">         4421 WBC Events Attendee Income</t>
  </si>
  <si>
    <t xml:space="preserve">         4422 WBC Events Sponsorship Income</t>
  </si>
  <si>
    <t xml:space="preserve">         4425 WBC Event Expense</t>
  </si>
  <si>
    <t xml:space="preserve">      Total 4420 WBC Events Income</t>
  </si>
  <si>
    <t xml:space="preserve">      4430 Member Luncheon Income</t>
  </si>
  <si>
    <t xml:space="preserve">         4432 Member Luncheon Attendee Income</t>
  </si>
  <si>
    <t xml:space="preserve">         4435 Members Luncheon Expense</t>
  </si>
  <si>
    <t xml:space="preserve">      Total 4430 Member Luncheon Income</t>
  </si>
  <si>
    <t xml:space="preserve">   Total 4400 MEMBERSHIP ACTIVITIES INCOME</t>
  </si>
  <si>
    <t>Total Income</t>
  </si>
  <si>
    <t>Gross Profit</t>
  </si>
  <si>
    <t>Expenses</t>
  </si>
  <si>
    <t xml:space="preserve">   5001 Advertising Expense</t>
  </si>
  <si>
    <t xml:space="preserve">   5003 Bookkeeping Expense</t>
  </si>
  <si>
    <t xml:space="preserve">   5009 Contributions Expense</t>
  </si>
  <si>
    <t xml:space="preserve">   5011 Cr Card Processing &amp; Bank Charges Expense</t>
  </si>
  <si>
    <t xml:space="preserve">   5015 Dues &amp; Subscriptions Expense</t>
  </si>
  <si>
    <t xml:space="preserve">   5018 Insurance Expense</t>
  </si>
  <si>
    <t xml:space="preserve">      5019 General Insurance Expense</t>
  </si>
  <si>
    <t xml:space="preserve">   Total 5018 Insurance Expense</t>
  </si>
  <si>
    <t xml:space="preserve">   5021 Interest Expense</t>
  </si>
  <si>
    <t xml:space="preserve">   5023 Meetings / Conventions Expense</t>
  </si>
  <si>
    <t xml:space="preserve">   5025 Membership Expense</t>
  </si>
  <si>
    <t xml:space="preserve">   5030 Meals &amp; Entertainment</t>
  </si>
  <si>
    <t xml:space="preserve">      5032 Meals - 50%</t>
  </si>
  <si>
    <t xml:space="preserve">   Total 5030 Meals &amp; Entertainment</t>
  </si>
  <si>
    <t xml:space="preserve">   5031 Office Supplies Expense</t>
  </si>
  <si>
    <t xml:space="preserve">   5033 Payroll Processing Expense</t>
  </si>
  <si>
    <t xml:space="preserve">   5035 Payroll Tax Expense</t>
  </si>
  <si>
    <t xml:space="preserve">   5039 Postage &amp; Delivery Expense</t>
  </si>
  <si>
    <t xml:space="preserve">   5048 Rent Expense - PATH Bldg</t>
  </si>
  <si>
    <t xml:space="preserve">   5051 Simple IRA Company Contribution Expense</t>
  </si>
  <si>
    <t xml:space="preserve">   5053 Technology Expense</t>
  </si>
  <si>
    <t xml:space="preserve">      6054 Software Costs</t>
  </si>
  <si>
    <t xml:space="preserve">      6055 Utility Costs</t>
  </si>
  <si>
    <t xml:space="preserve">      6056 Equipment Rental</t>
  </si>
  <si>
    <t xml:space="preserve">      6057 IT Services</t>
  </si>
  <si>
    <t xml:space="preserve">   Total 5053 Technology Expense</t>
  </si>
  <si>
    <t xml:space="preserve">   5055 Telephone Expense</t>
  </si>
  <si>
    <t xml:space="preserve">   5060 Wages Expense</t>
  </si>
  <si>
    <t xml:space="preserve">      5063 Wages_Admin</t>
  </si>
  <si>
    <t xml:space="preserve">      5064 Wages_Exec Director</t>
  </si>
  <si>
    <t xml:space="preserve">   Total 5060 Wages Expense</t>
  </si>
  <si>
    <t xml:space="preserve">   5065 Website Development Expense</t>
  </si>
  <si>
    <t>Total Expenses</t>
  </si>
  <si>
    <t>Net Operating Income</t>
  </si>
  <si>
    <t>Other Income</t>
  </si>
  <si>
    <t xml:space="preserve">   4600 Grant Income</t>
  </si>
  <si>
    <t xml:space="preserve">   7005 Investment Income</t>
  </si>
  <si>
    <t xml:space="preserve">   7010 Unrealized Gains/Losses</t>
  </si>
  <si>
    <t xml:space="preserve">   Previous Year Income</t>
  </si>
  <si>
    <t>Total Other Income</t>
  </si>
  <si>
    <t>Other Expenses</t>
  </si>
  <si>
    <t xml:space="preserve">   Previous Year's Expenses</t>
  </si>
  <si>
    <t>Total Other Expenses</t>
  </si>
  <si>
    <t>Net Other Income</t>
  </si>
  <si>
    <t>Net Income</t>
  </si>
  <si>
    <t>Thursday, Jan 09, 2025 01:34:04 PM GMT-8 - Cash Basis</t>
  </si>
  <si>
    <t>Fauquier Chamber</t>
  </si>
  <si>
    <t>Profit and Loss</t>
  </si>
  <si>
    <t>January - December 2024</t>
  </si>
  <si>
    <t>**NEW Economic Summit Sponsorship</t>
  </si>
  <si>
    <t>**New Economic Summit Expense</t>
  </si>
  <si>
    <t>**NEW Festival Booth Sponsorship</t>
  </si>
  <si>
    <t xml:space="preserve">      4208 Advertising Sponsorships E-Blast</t>
  </si>
  <si>
    <t>**NEW Business Directory Income</t>
  </si>
  <si>
    <t>**NEW Member Luncheon Sponsorship</t>
  </si>
  <si>
    <t># of New Memberships</t>
  </si>
  <si>
    <t>January - December 2025</t>
  </si>
  <si>
    <t>Budget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</si>
</sst>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7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9" fontId="3" fillId="0" borderId="0" xfId="1" applyFont="1" applyAlignment="1">
      <alignment wrapText="1"/>
    </xf>
    <xf numFmtId="9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left" wrapText="1" indent="9"/>
    </xf>
    <xf numFmtId="164" fontId="3" fillId="0" borderId="0" xfId="0" applyNumberFormat="1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F917-BC06-4260-BC20-BAA54FE4F6AE}">
  <dimension ref="A1:AF128"/>
  <sheetViews>
    <sheetView tabSelected="1" zoomScale="115" zoomScaleNormal="115" workbookViewId="0">
      <pane xSplit="1" ySplit="5" topLeftCell="B33" activePane="bottomRight" state="frozen"/>
      <selection activeCell="C15" sqref="C15"/>
      <selection pane="topRight" activeCell="C15" sqref="C15"/>
      <selection pane="bottomLeft" activeCell="C15" sqref="C15"/>
      <selection pane="bottomRight" activeCell="D50" sqref="D50"/>
    </sheetView>
  </sheetViews>
  <sheetFormatPr defaultRowHeight="13.8"/>
  <cols>
    <col min="1" max="1" width="36.59765625" customWidth="1"/>
    <col min="2" max="2" width="11.19921875" customWidth="1"/>
    <col min="3" max="3" width="9.5" hidden="1" customWidth="1"/>
    <col min="4" max="4" width="11.19921875" customWidth="1"/>
    <col min="5" max="5" width="10.296875" hidden="1" customWidth="1"/>
    <col min="6" max="6" width="11.19921875" customWidth="1"/>
    <col min="7" max="7" width="9.5" hidden="1" customWidth="1"/>
    <col min="8" max="8" width="11.19921875" customWidth="1"/>
    <col min="9" max="9" width="11.19921875" hidden="1" customWidth="1"/>
    <col min="10" max="10" width="11.19921875" customWidth="1"/>
    <col min="11" max="11" width="9.5" hidden="1" customWidth="1"/>
    <col min="12" max="12" width="11.19921875" customWidth="1"/>
    <col min="13" max="13" width="9.5" hidden="1" customWidth="1"/>
    <col min="14" max="14" width="11.19921875" customWidth="1"/>
    <col min="15" max="15" width="9.5" hidden="1" customWidth="1"/>
    <col min="16" max="16" width="11.19921875" customWidth="1"/>
    <col min="17" max="17" width="10.296875" hidden="1" customWidth="1"/>
    <col min="18" max="18" width="11.19921875" customWidth="1"/>
    <col min="19" max="19" width="10.296875" hidden="1" customWidth="1"/>
    <col min="20" max="20" width="11.19921875" customWidth="1"/>
    <col min="21" max="21" width="10.296875" hidden="1" customWidth="1"/>
    <col min="22" max="22" width="11.19921875" customWidth="1"/>
    <col min="23" max="23" width="9.5" hidden="1" customWidth="1"/>
    <col min="24" max="24" width="11.19921875" customWidth="1"/>
    <col min="25" max="25" width="11.19921875" hidden="1" customWidth="1"/>
    <col min="26" max="27" width="11.19921875" customWidth="1"/>
    <col min="28" max="28" width="17.59765625" customWidth="1"/>
  </cols>
  <sheetData>
    <row r="1" spans="1:32" ht="17.399999999999999">
      <c r="A1" s="17" t="s">
        <v>126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17.399999999999999">
      <c r="A2" s="17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>
      <c r="A3" s="15" t="s">
        <v>136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5" spans="1:32">
      <c r="A5" s="1"/>
      <c r="B5" s="8">
        <v>45658</v>
      </c>
      <c r="C5" s="2" t="s">
        <v>0</v>
      </c>
      <c r="D5" s="8">
        <v>45689</v>
      </c>
      <c r="E5" s="2" t="s">
        <v>1</v>
      </c>
      <c r="F5" s="8">
        <v>45717</v>
      </c>
      <c r="G5" s="8">
        <v>45352</v>
      </c>
      <c r="H5" s="8">
        <v>45748</v>
      </c>
      <c r="I5" s="2" t="s">
        <v>2</v>
      </c>
      <c r="J5" s="8">
        <v>45778</v>
      </c>
      <c r="K5" s="2" t="s">
        <v>3</v>
      </c>
      <c r="L5" s="8">
        <v>45809</v>
      </c>
      <c r="M5" s="2" t="s">
        <v>4</v>
      </c>
      <c r="N5" s="8">
        <v>45839</v>
      </c>
      <c r="O5" s="2" t="s">
        <v>5</v>
      </c>
      <c r="P5" s="8">
        <v>45870</v>
      </c>
      <c r="Q5" s="2" t="s">
        <v>6</v>
      </c>
      <c r="R5" s="8">
        <v>45901</v>
      </c>
      <c r="S5" s="2" t="s">
        <v>7</v>
      </c>
      <c r="T5" s="8">
        <v>45931</v>
      </c>
      <c r="U5" s="2" t="s">
        <v>8</v>
      </c>
      <c r="V5" s="8">
        <v>45962</v>
      </c>
      <c r="W5" s="2" t="s">
        <v>9</v>
      </c>
      <c r="X5" s="8">
        <v>45992</v>
      </c>
      <c r="Y5" s="2" t="s">
        <v>10</v>
      </c>
      <c r="Z5" s="2" t="s">
        <v>11</v>
      </c>
      <c r="AA5" s="2"/>
    </row>
    <row r="6" spans="1:32">
      <c r="A6" s="3" t="s">
        <v>12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2">
      <c r="A7" s="3" t="s">
        <v>13</v>
      </c>
      <c r="B7" s="5">
        <v>55</v>
      </c>
      <c r="C7" s="9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5"/>
      <c r="Q7" s="4"/>
      <c r="R7" s="5"/>
      <c r="S7" s="4"/>
      <c r="T7" s="5"/>
      <c r="U7" s="4"/>
      <c r="V7" s="5"/>
      <c r="W7" s="4"/>
      <c r="X7" s="5"/>
      <c r="Y7" s="4"/>
      <c r="Z7" s="5"/>
      <c r="AA7" s="5"/>
    </row>
    <row r="8" spans="1:32">
      <c r="A8" s="3" t="s">
        <v>14</v>
      </c>
      <c r="B8" s="5">
        <f>B11*$B$7</f>
        <v>165</v>
      </c>
      <c r="C8" s="5">
        <f t="shared" ref="C8:X8" ca="1" si="0">C11*$B$7</f>
        <v>165</v>
      </c>
      <c r="D8" s="5">
        <f t="shared" si="0"/>
        <v>385</v>
      </c>
      <c r="E8" s="5">
        <f t="shared" ca="1" si="0"/>
        <v>165</v>
      </c>
      <c r="F8" s="5">
        <f t="shared" si="0"/>
        <v>330</v>
      </c>
      <c r="G8" s="5">
        <f t="shared" ca="1" si="0"/>
        <v>165</v>
      </c>
      <c r="H8" s="5">
        <f t="shared" si="0"/>
        <v>605</v>
      </c>
      <c r="I8" s="5">
        <f t="shared" ca="1" si="0"/>
        <v>165</v>
      </c>
      <c r="J8" s="5">
        <f t="shared" si="0"/>
        <v>550</v>
      </c>
      <c r="K8" s="5">
        <f t="shared" ca="1" si="0"/>
        <v>165</v>
      </c>
      <c r="L8" s="5">
        <f t="shared" si="0"/>
        <v>605</v>
      </c>
      <c r="M8" s="5">
        <f t="shared" ca="1" si="0"/>
        <v>165</v>
      </c>
      <c r="N8" s="5">
        <f t="shared" si="0"/>
        <v>495</v>
      </c>
      <c r="O8" s="5">
        <f t="shared" ca="1" si="0"/>
        <v>165</v>
      </c>
      <c r="P8" s="5">
        <f t="shared" si="0"/>
        <v>165</v>
      </c>
      <c r="Q8" s="5">
        <f t="shared" ca="1" si="0"/>
        <v>165</v>
      </c>
      <c r="R8" s="5">
        <f t="shared" si="0"/>
        <v>220</v>
      </c>
      <c r="S8" s="5">
        <f t="shared" ca="1" si="0"/>
        <v>165</v>
      </c>
      <c r="T8" s="5">
        <f t="shared" si="0"/>
        <v>495</v>
      </c>
      <c r="U8" s="5">
        <f t="shared" ca="1" si="0"/>
        <v>165</v>
      </c>
      <c r="V8" s="5">
        <f t="shared" si="0"/>
        <v>275</v>
      </c>
      <c r="W8" s="5">
        <f t="shared" ca="1" si="0"/>
        <v>165</v>
      </c>
      <c r="X8" s="5">
        <f t="shared" si="0"/>
        <v>550</v>
      </c>
      <c r="Y8" s="9">
        <v>0.11405529953917051</v>
      </c>
      <c r="Z8" s="5">
        <v>4840</v>
      </c>
      <c r="AA8" s="5">
        <f>B8+D8+F8+H8+J8+L8+N8+P8+R8+T8+V8+X8</f>
        <v>4840</v>
      </c>
      <c r="AB8" s="10"/>
    </row>
    <row r="9" spans="1:32">
      <c r="A9" s="3" t="s">
        <v>15</v>
      </c>
      <c r="B9" s="5">
        <f t="shared" ref="B9:B72" si="1">C9*$Z9</f>
        <v>6270.2645404246214</v>
      </c>
      <c r="C9" s="9">
        <v>7.5559368074916006E-2</v>
      </c>
      <c r="D9" s="5">
        <f t="shared" ref="D9:D72" si="2">E9*$Z9</f>
        <v>5125.3628788333708</v>
      </c>
      <c r="E9" s="9">
        <v>6.1762813639288011E-2</v>
      </c>
      <c r="F9" s="5">
        <f t="shared" ref="F9:F72" si="3">G9*$Z9</f>
        <v>6015.1828230752744</v>
      </c>
      <c r="G9" s="9">
        <v>7.248552434055329E-2</v>
      </c>
      <c r="H9" s="5">
        <f t="shared" ref="H8:H70" si="4">I9*$Z9</f>
        <v>6639.4049960813381</v>
      </c>
      <c r="I9" s="9">
        <v>8.000766836280454E-2</v>
      </c>
      <c r="J9" s="5">
        <f t="shared" ref="J9:J72" si="5">K9*$Z9</f>
        <v>9912.5941788548171</v>
      </c>
      <c r="K9" s="9">
        <v>0.11945099721209522</v>
      </c>
      <c r="L9" s="5">
        <f t="shared" ref="L9:L72" si="6">M9*$Z9</f>
        <v>4866.50616778118</v>
      </c>
      <c r="M9" s="9">
        <v>5.864347961710175E-2</v>
      </c>
      <c r="N9" s="5">
        <f t="shared" ref="N9:N72" si="7">O9*$Z9</f>
        <v>9562.5983341196679</v>
      </c>
      <c r="O9" s="9">
        <v>0.11523339766959755</v>
      </c>
      <c r="P9" s="5">
        <f t="shared" ref="P9:P72" si="8">Q9*$Z9</f>
        <v>5786.7957040531865</v>
      </c>
      <c r="Q9" s="9">
        <v>6.9733361927228538E-2</v>
      </c>
      <c r="R9" s="5">
        <f t="shared" ref="R9:R72" si="9">S9*$Z9</f>
        <v>3405.0443199656884</v>
      </c>
      <c r="S9" s="9">
        <v>4.1032239616841805E-2</v>
      </c>
      <c r="T9" s="5">
        <f t="shared" ref="T9:T72" si="10">U9*$Z9</f>
        <v>6311.7894711559093</v>
      </c>
      <c r="U9" s="9">
        <v>7.6059761240975049E-2</v>
      </c>
      <c r="V9" s="5">
        <f t="shared" ref="V9:V72" si="11">W9*$Z9</f>
        <v>11347.631070750396</v>
      </c>
      <c r="W9" s="9">
        <v>0.1367438051975903</v>
      </c>
      <c r="X9" s="5">
        <f t="shared" ref="X9:X72" si="12">Y9*$Z9</f>
        <v>7741.4335149045701</v>
      </c>
      <c r="Y9" s="9">
        <v>9.3287583101007931E-2</v>
      </c>
      <c r="Z9" s="5">
        <v>82984.608000000022</v>
      </c>
      <c r="AA9" s="5">
        <f t="shared" ref="AA9:AA73" si="13">B9+D9+F9+H9+J9+L9+N9+P9+R9+T9+V9+X9</f>
        <v>82984.608000000022</v>
      </c>
      <c r="AB9" s="10"/>
    </row>
    <row r="10" spans="1:32">
      <c r="A10" s="3" t="s">
        <v>16</v>
      </c>
      <c r="B10" s="5">
        <f>B11*$A$11</f>
        <v>1102.5</v>
      </c>
      <c r="C10" s="5">
        <f t="shared" ref="C10:X10" ca="1" si="14">C11*$A$11</f>
        <v>1102.5</v>
      </c>
      <c r="D10" s="5">
        <f t="shared" si="14"/>
        <v>2572.5</v>
      </c>
      <c r="E10" s="5">
        <f t="shared" ca="1" si="14"/>
        <v>1102.5</v>
      </c>
      <c r="F10" s="5">
        <f t="shared" si="14"/>
        <v>2205</v>
      </c>
      <c r="G10" s="5">
        <f t="shared" ca="1" si="14"/>
        <v>1102.5</v>
      </c>
      <c r="H10" s="5">
        <f t="shared" si="14"/>
        <v>4042.5</v>
      </c>
      <c r="I10" s="5">
        <f t="shared" ca="1" si="14"/>
        <v>1102.5</v>
      </c>
      <c r="J10" s="5">
        <f t="shared" si="14"/>
        <v>3675</v>
      </c>
      <c r="K10" s="5">
        <f t="shared" ca="1" si="14"/>
        <v>1102.5</v>
      </c>
      <c r="L10" s="5">
        <f t="shared" si="14"/>
        <v>4042.5</v>
      </c>
      <c r="M10" s="5">
        <f t="shared" ca="1" si="14"/>
        <v>1102.5</v>
      </c>
      <c r="N10" s="5">
        <f t="shared" si="14"/>
        <v>3307.5</v>
      </c>
      <c r="O10" s="5">
        <f t="shared" ca="1" si="14"/>
        <v>1102.5</v>
      </c>
      <c r="P10" s="5">
        <f t="shared" si="14"/>
        <v>1102.5</v>
      </c>
      <c r="Q10" s="5">
        <f t="shared" ca="1" si="14"/>
        <v>1102.5</v>
      </c>
      <c r="R10" s="5">
        <f t="shared" si="14"/>
        <v>1470</v>
      </c>
      <c r="S10" s="5">
        <f t="shared" ca="1" si="14"/>
        <v>1102.5</v>
      </c>
      <c r="T10" s="5">
        <f t="shared" si="14"/>
        <v>3307.5</v>
      </c>
      <c r="U10" s="5">
        <f t="shared" ca="1" si="14"/>
        <v>1102.5</v>
      </c>
      <c r="V10" s="5">
        <f t="shared" si="14"/>
        <v>1837.5</v>
      </c>
      <c r="W10" s="5">
        <f t="shared" ca="1" si="14"/>
        <v>1102.5</v>
      </c>
      <c r="X10" s="5">
        <f t="shared" si="14"/>
        <v>3675</v>
      </c>
      <c r="Y10" s="9">
        <v>0.1573639774859287</v>
      </c>
      <c r="Z10" s="5">
        <v>32340</v>
      </c>
      <c r="AA10" s="5">
        <f t="shared" si="13"/>
        <v>32340</v>
      </c>
      <c r="AB10" s="10"/>
    </row>
    <row r="11" spans="1:32">
      <c r="A11" s="19">
        <v>367.5</v>
      </c>
      <c r="B11" s="5">
        <v>3</v>
      </c>
      <c r="C11" s="5">
        <f t="shared" ref="C11:Y11" ca="1" si="15">C10/$A$11</f>
        <v>7.6971183913022566E-5</v>
      </c>
      <c r="D11" s="5">
        <v>7</v>
      </c>
      <c r="E11" s="5">
        <f t="shared" ca="1" si="15"/>
        <v>2.0087122740566858E-4</v>
      </c>
      <c r="F11" s="5">
        <v>6</v>
      </c>
      <c r="G11" s="5">
        <f t="shared" ca="1" si="15"/>
        <v>1.9601143964585401E-4</v>
      </c>
      <c r="H11" s="5">
        <v>11</v>
      </c>
      <c r="I11" s="5">
        <f t="shared" ca="1" si="15"/>
        <v>3.2722570916084718E-4</v>
      </c>
      <c r="J11" s="5">
        <v>10</v>
      </c>
      <c r="K11" s="5">
        <f t="shared" ca="1" si="15"/>
        <v>3.1195910316789437E-4</v>
      </c>
      <c r="L11" s="5">
        <v>11</v>
      </c>
      <c r="M11" s="5">
        <f t="shared" ca="1" si="15"/>
        <v>3.4990471870664851E-4</v>
      </c>
      <c r="N11" s="5">
        <v>9</v>
      </c>
      <c r="O11" s="5">
        <f t="shared" ca="1" si="15"/>
        <v>3.0562665245056024E-4</v>
      </c>
      <c r="P11" s="5">
        <v>3</v>
      </c>
      <c r="Q11" s="5">
        <f t="shared" ca="1" si="15"/>
        <v>1.0583537788040601E-4</v>
      </c>
      <c r="R11" s="5">
        <v>4</v>
      </c>
      <c r="S11" s="5">
        <f t="shared" ca="1" si="15"/>
        <v>8.8556132512176468E-5</v>
      </c>
      <c r="T11" s="5">
        <v>9</v>
      </c>
      <c r="U11" s="5">
        <f t="shared" ca="1" si="15"/>
        <v>3.0346674677953156E-4</v>
      </c>
      <c r="V11" s="5">
        <v>5</v>
      </c>
      <c r="W11" s="5">
        <f t="shared" ca="1" si="15"/>
        <v>2.6458844470101502E-5</v>
      </c>
      <c r="X11" s="5">
        <v>10</v>
      </c>
      <c r="Y11" s="5">
        <f t="shared" si="15"/>
        <v>4.2820129928143862E-4</v>
      </c>
      <c r="Z11" s="5"/>
      <c r="AA11" s="5">
        <f t="shared" si="13"/>
        <v>88</v>
      </c>
      <c r="AB11" s="20" t="s">
        <v>135</v>
      </c>
    </row>
    <row r="12" spans="1:32">
      <c r="A12" s="3" t="s">
        <v>17</v>
      </c>
      <c r="B12" s="6">
        <f>SUM(B8:B10)</f>
        <v>7537.7645404246214</v>
      </c>
      <c r="C12" s="6">
        <f t="shared" ref="C12:X12" ca="1" si="16">SUM(C8:C10)</f>
        <v>7537.7645404246214</v>
      </c>
      <c r="D12" s="6">
        <f t="shared" si="16"/>
        <v>8082.8628788333708</v>
      </c>
      <c r="E12" s="6">
        <f t="shared" ca="1" si="16"/>
        <v>7537.7645404246214</v>
      </c>
      <c r="F12" s="6">
        <f t="shared" si="16"/>
        <v>8550.1828230752744</v>
      </c>
      <c r="G12" s="6">
        <f t="shared" ca="1" si="16"/>
        <v>7537.7645404246214</v>
      </c>
      <c r="H12" s="6">
        <f t="shared" si="16"/>
        <v>11286.904996081339</v>
      </c>
      <c r="I12" s="6">
        <f t="shared" ca="1" si="16"/>
        <v>7537.7645404246214</v>
      </c>
      <c r="J12" s="6">
        <f t="shared" si="16"/>
        <v>14137.594178854817</v>
      </c>
      <c r="K12" s="6">
        <f t="shared" ca="1" si="16"/>
        <v>7537.7645404246214</v>
      </c>
      <c r="L12" s="6">
        <f t="shared" si="16"/>
        <v>9514.0061677811791</v>
      </c>
      <c r="M12" s="6">
        <f t="shared" ca="1" si="16"/>
        <v>7537.7645404246214</v>
      </c>
      <c r="N12" s="6">
        <f t="shared" si="16"/>
        <v>13365.098334119668</v>
      </c>
      <c r="O12" s="6">
        <f t="shared" ca="1" si="16"/>
        <v>7537.7645404246214</v>
      </c>
      <c r="P12" s="6">
        <f t="shared" si="16"/>
        <v>7054.2957040531865</v>
      </c>
      <c r="Q12" s="6">
        <f t="shared" ca="1" si="16"/>
        <v>7537.7645404246214</v>
      </c>
      <c r="R12" s="6">
        <f t="shared" si="16"/>
        <v>5095.0443199656884</v>
      </c>
      <c r="S12" s="6">
        <f t="shared" ca="1" si="16"/>
        <v>7537.7645404246214</v>
      </c>
      <c r="T12" s="6">
        <f t="shared" si="16"/>
        <v>10114.289471155909</v>
      </c>
      <c r="U12" s="6">
        <f t="shared" ca="1" si="16"/>
        <v>7537.7645404246214</v>
      </c>
      <c r="V12" s="6">
        <f t="shared" si="16"/>
        <v>13460.131070750396</v>
      </c>
      <c r="W12" s="6">
        <f t="shared" ca="1" si="16"/>
        <v>7537.7645404246214</v>
      </c>
      <c r="X12" s="6">
        <f t="shared" si="16"/>
        <v>11966.433514904569</v>
      </c>
      <c r="Y12" s="9">
        <v>0.11040822786261818</v>
      </c>
      <c r="Z12" s="6">
        <f>SUM(Z8:Z10)</f>
        <v>120164.60800000002</v>
      </c>
      <c r="AA12" s="6">
        <f t="shared" si="13"/>
        <v>120164.60800000002</v>
      </c>
      <c r="AB12" s="10"/>
    </row>
    <row r="13" spans="1:32">
      <c r="A13" s="3" t="s">
        <v>18</v>
      </c>
      <c r="B13" s="5"/>
      <c r="C13" s="9"/>
      <c r="D13" s="5"/>
      <c r="E13" s="9"/>
      <c r="F13" s="5"/>
      <c r="G13" s="9"/>
      <c r="H13" s="5"/>
      <c r="I13" s="9"/>
      <c r="J13" s="5"/>
      <c r="K13" s="9"/>
      <c r="L13" s="5"/>
      <c r="M13" s="9"/>
      <c r="N13" s="5"/>
      <c r="O13" s="9"/>
      <c r="P13" s="5"/>
      <c r="Q13" s="9"/>
      <c r="R13" s="5"/>
      <c r="S13" s="9"/>
      <c r="T13" s="5"/>
      <c r="U13" s="9"/>
      <c r="V13" s="5"/>
      <c r="W13" s="9"/>
      <c r="X13" s="5"/>
      <c r="Y13" s="9"/>
      <c r="Z13" s="5"/>
      <c r="AA13" s="5"/>
      <c r="AB13" s="10"/>
    </row>
    <row r="14" spans="1:32">
      <c r="A14" s="3" t="s">
        <v>19</v>
      </c>
      <c r="B14" s="5"/>
      <c r="C14" s="9"/>
      <c r="D14" s="5"/>
      <c r="E14" s="9"/>
      <c r="F14" s="5"/>
      <c r="G14" s="9"/>
      <c r="H14" s="5"/>
      <c r="I14" s="9"/>
      <c r="J14" s="5"/>
      <c r="K14" s="9"/>
      <c r="L14" s="5"/>
      <c r="M14" s="9"/>
      <c r="N14" s="5"/>
      <c r="O14" s="9"/>
      <c r="P14" s="5"/>
      <c r="Q14" s="9"/>
      <c r="R14" s="5"/>
      <c r="S14" s="9"/>
      <c r="T14" s="5"/>
      <c r="U14" s="9"/>
      <c r="V14" s="5"/>
      <c r="W14" s="9"/>
      <c r="X14" s="5"/>
      <c r="Y14" s="9"/>
      <c r="Z14" s="5"/>
      <c r="AA14" s="5"/>
      <c r="AB14" s="10"/>
    </row>
    <row r="15" spans="1:32">
      <c r="A15" s="3" t="s">
        <v>20</v>
      </c>
      <c r="B15" s="5">
        <f t="shared" si="1"/>
        <v>2964.0718562874254</v>
      </c>
      <c r="C15" s="9">
        <v>0.19760479041916168</v>
      </c>
      <c r="D15" s="5">
        <f t="shared" si="2"/>
        <v>1347.3053892215569</v>
      </c>
      <c r="E15" s="9">
        <v>8.9820359281437126E-2</v>
      </c>
      <c r="F15" s="5">
        <f t="shared" si="3"/>
        <v>6571.8562874251493</v>
      </c>
      <c r="G15" s="9">
        <v>0.43812375249500995</v>
      </c>
      <c r="H15" s="5">
        <f t="shared" si="4"/>
        <v>2148.2035928143714</v>
      </c>
      <c r="I15" s="9">
        <v>0.14321357285429143</v>
      </c>
      <c r="J15" s="5">
        <f t="shared" si="5"/>
        <v>1309.8802395209582</v>
      </c>
      <c r="K15" s="9">
        <v>8.7325349301397209E-2</v>
      </c>
      <c r="L15" s="5">
        <f t="shared" si="6"/>
        <v>329.34131736526945</v>
      </c>
      <c r="M15" s="9">
        <v>2.1956087824351298E-2</v>
      </c>
      <c r="N15" s="5">
        <f t="shared" si="7"/>
        <v>329.34131736526945</v>
      </c>
      <c r="O15" s="9">
        <v>2.1956087824351298E-2</v>
      </c>
      <c r="P15" s="5">
        <f t="shared" si="8"/>
        <v>0</v>
      </c>
      <c r="Q15" s="9">
        <v>0</v>
      </c>
      <c r="R15" s="5">
        <f t="shared" si="9"/>
        <v>0</v>
      </c>
      <c r="S15" s="9">
        <v>0</v>
      </c>
      <c r="T15" s="5">
        <f t="shared" si="10"/>
        <v>0</v>
      </c>
      <c r="U15" s="9">
        <v>0</v>
      </c>
      <c r="V15" s="5">
        <f t="shared" si="11"/>
        <v>0</v>
      </c>
      <c r="W15" s="9">
        <v>0</v>
      </c>
      <c r="X15" s="5">
        <f t="shared" si="12"/>
        <v>0</v>
      </c>
      <c r="Y15" s="9">
        <v>0</v>
      </c>
      <c r="Z15" s="5">
        <v>15000</v>
      </c>
      <c r="AA15" s="5">
        <f t="shared" si="13"/>
        <v>15000.000000000002</v>
      </c>
      <c r="AB15" s="10"/>
    </row>
    <row r="16" spans="1:32">
      <c r="A16" s="3" t="s">
        <v>21</v>
      </c>
      <c r="B16" s="5">
        <f t="shared" si="1"/>
        <v>0</v>
      </c>
      <c r="C16" s="9">
        <v>0</v>
      </c>
      <c r="D16" s="5">
        <f t="shared" si="2"/>
        <v>0</v>
      </c>
      <c r="E16" s="9">
        <v>0</v>
      </c>
      <c r="F16" s="5">
        <f t="shared" si="3"/>
        <v>784.48275862068965</v>
      </c>
      <c r="G16" s="9">
        <v>0.44827586206896552</v>
      </c>
      <c r="H16" s="5">
        <f t="shared" si="4"/>
        <v>784.48275862068965</v>
      </c>
      <c r="I16" s="9">
        <v>0.44827586206896552</v>
      </c>
      <c r="J16" s="5">
        <f t="shared" si="5"/>
        <v>0</v>
      </c>
      <c r="K16" s="9">
        <v>0</v>
      </c>
      <c r="L16" s="5">
        <f t="shared" si="6"/>
        <v>120.68965517241379</v>
      </c>
      <c r="M16" s="9">
        <v>6.8965517241379309E-2</v>
      </c>
      <c r="N16" s="5">
        <f t="shared" si="7"/>
        <v>0</v>
      </c>
      <c r="O16" s="9">
        <v>0</v>
      </c>
      <c r="P16" s="5">
        <f t="shared" si="8"/>
        <v>0</v>
      </c>
      <c r="Q16" s="9">
        <v>0</v>
      </c>
      <c r="R16" s="5">
        <f t="shared" si="9"/>
        <v>0</v>
      </c>
      <c r="S16" s="9">
        <v>0</v>
      </c>
      <c r="T16" s="5">
        <f t="shared" si="10"/>
        <v>0</v>
      </c>
      <c r="U16" s="9">
        <v>0</v>
      </c>
      <c r="V16" s="5">
        <f t="shared" si="11"/>
        <v>0</v>
      </c>
      <c r="W16" s="9">
        <v>0</v>
      </c>
      <c r="X16" s="5">
        <f t="shared" si="12"/>
        <v>60.344827586206897</v>
      </c>
      <c r="Y16" s="9">
        <v>3.4482758620689655E-2</v>
      </c>
      <c r="Z16" s="5">
        <v>1750</v>
      </c>
      <c r="AA16" s="5">
        <f t="shared" si="13"/>
        <v>1750</v>
      </c>
      <c r="AB16" s="10"/>
    </row>
    <row r="17" spans="1:28">
      <c r="A17" s="3" t="s">
        <v>22</v>
      </c>
      <c r="B17" s="5">
        <f t="shared" si="1"/>
        <v>0</v>
      </c>
      <c r="C17" s="9">
        <v>0</v>
      </c>
      <c r="D17" s="5">
        <f t="shared" si="2"/>
        <v>0</v>
      </c>
      <c r="E17" s="9">
        <v>0</v>
      </c>
      <c r="F17" s="5">
        <f t="shared" si="3"/>
        <v>-3231.7736143688153</v>
      </c>
      <c r="G17" s="9">
        <v>0.21545157429125436</v>
      </c>
      <c r="H17" s="5">
        <f t="shared" si="4"/>
        <v>-7798.3192396168406</v>
      </c>
      <c r="I17" s="9">
        <v>0.51988794930778937</v>
      </c>
      <c r="J17" s="5">
        <f t="shared" si="5"/>
        <v>-2646.604764009563</v>
      </c>
      <c r="K17" s="9">
        <v>0.17644031760063753</v>
      </c>
      <c r="L17" s="5">
        <f t="shared" si="6"/>
        <v>-1323.3023820047815</v>
      </c>
      <c r="M17" s="9">
        <v>8.8220158800318763E-2</v>
      </c>
      <c r="N17" s="5">
        <f t="shared" si="7"/>
        <v>0</v>
      </c>
      <c r="O17" s="9">
        <v>0</v>
      </c>
      <c r="P17" s="5">
        <f t="shared" si="8"/>
        <v>0</v>
      </c>
      <c r="Q17" s="9">
        <v>0</v>
      </c>
      <c r="R17" s="5">
        <f t="shared" si="9"/>
        <v>0</v>
      </c>
      <c r="S17" s="9">
        <v>0</v>
      </c>
      <c r="T17" s="5">
        <f t="shared" si="10"/>
        <v>0</v>
      </c>
      <c r="U17" s="9">
        <v>0</v>
      </c>
      <c r="V17" s="5">
        <f t="shared" si="11"/>
        <v>0</v>
      </c>
      <c r="W17" s="9">
        <v>0</v>
      </c>
      <c r="X17" s="5">
        <f t="shared" si="12"/>
        <v>0</v>
      </c>
      <c r="Y17" s="9">
        <v>0</v>
      </c>
      <c r="Z17" s="5">
        <v>-15000</v>
      </c>
      <c r="AA17" s="5">
        <f t="shared" si="13"/>
        <v>-15000</v>
      </c>
      <c r="AB17" s="10"/>
    </row>
    <row r="18" spans="1:28">
      <c r="A18" s="3" t="s">
        <v>23</v>
      </c>
      <c r="B18" s="6">
        <f>SUM(B15:B17)</f>
        <v>2964.0718562874254</v>
      </c>
      <c r="C18" s="6">
        <f t="shared" ref="C18:X18" si="17">SUM(C15:C17)</f>
        <v>0.19760479041916168</v>
      </c>
      <c r="D18" s="6">
        <f t="shared" si="17"/>
        <v>1347.3053892215569</v>
      </c>
      <c r="E18" s="6">
        <f t="shared" si="17"/>
        <v>8.9820359281437126E-2</v>
      </c>
      <c r="F18" s="6">
        <f t="shared" si="17"/>
        <v>4124.5654316770233</v>
      </c>
      <c r="G18" s="6">
        <f t="shared" si="17"/>
        <v>1.1018511888552298</v>
      </c>
      <c r="H18" s="6">
        <f t="shared" si="17"/>
        <v>-4865.632888181779</v>
      </c>
      <c r="I18" s="6">
        <f t="shared" si="17"/>
        <v>1.1113773842310462</v>
      </c>
      <c r="J18" s="6">
        <f t="shared" si="17"/>
        <v>-1336.7245244886049</v>
      </c>
      <c r="K18" s="6">
        <f t="shared" si="17"/>
        <v>0.26376566690203473</v>
      </c>
      <c r="L18" s="6">
        <f t="shared" si="17"/>
        <v>-873.27140946709824</v>
      </c>
      <c r="M18" s="6">
        <f t="shared" si="17"/>
        <v>0.17914176386604935</v>
      </c>
      <c r="N18" s="6">
        <f t="shared" si="17"/>
        <v>329.34131736526945</v>
      </c>
      <c r="O18" s="6">
        <f t="shared" si="17"/>
        <v>2.1956087824351298E-2</v>
      </c>
      <c r="P18" s="6">
        <f t="shared" si="17"/>
        <v>0</v>
      </c>
      <c r="Q18" s="6">
        <f t="shared" si="17"/>
        <v>0</v>
      </c>
      <c r="R18" s="6">
        <f t="shared" si="17"/>
        <v>0</v>
      </c>
      <c r="S18" s="6">
        <f t="shared" si="17"/>
        <v>0</v>
      </c>
      <c r="T18" s="6">
        <f t="shared" si="17"/>
        <v>0</v>
      </c>
      <c r="U18" s="6">
        <f t="shared" si="17"/>
        <v>0</v>
      </c>
      <c r="V18" s="6">
        <f t="shared" si="17"/>
        <v>0</v>
      </c>
      <c r="W18" s="6">
        <f t="shared" si="17"/>
        <v>0</v>
      </c>
      <c r="X18" s="6">
        <f t="shared" si="17"/>
        <v>60.344827586206897</v>
      </c>
      <c r="Y18" s="9">
        <v>2.9341345476738181E-2</v>
      </c>
      <c r="Z18" s="6">
        <f>SUM(Z15:Z17)</f>
        <v>1750</v>
      </c>
      <c r="AA18" s="6">
        <f t="shared" si="13"/>
        <v>1749.9999999999995</v>
      </c>
      <c r="AB18" s="10"/>
    </row>
    <row r="19" spans="1:28">
      <c r="A19" s="3" t="s">
        <v>24</v>
      </c>
      <c r="B19" s="5"/>
      <c r="C19" s="9"/>
      <c r="D19" s="5"/>
      <c r="E19" s="9"/>
      <c r="F19" s="5"/>
      <c r="G19" s="9"/>
      <c r="H19" s="5"/>
      <c r="I19" s="9"/>
      <c r="J19" s="5"/>
      <c r="K19" s="9"/>
      <c r="L19" s="5"/>
      <c r="M19" s="9"/>
      <c r="N19" s="5"/>
      <c r="O19" s="9"/>
      <c r="P19" s="5"/>
      <c r="Q19" s="9"/>
      <c r="R19" s="5"/>
      <c r="S19" s="9"/>
      <c r="T19" s="5"/>
      <c r="U19" s="9"/>
      <c r="V19" s="5"/>
      <c r="W19" s="9" t="e">
        <v>#DIV/0!</v>
      </c>
      <c r="X19" s="5"/>
      <c r="Y19" s="9"/>
      <c r="Z19" s="5"/>
      <c r="AA19" s="5"/>
      <c r="AB19" s="10"/>
    </row>
    <row r="20" spans="1:28">
      <c r="A20" s="3" t="s">
        <v>131</v>
      </c>
      <c r="B20" s="5">
        <f t="shared" si="1"/>
        <v>0</v>
      </c>
      <c r="C20" s="9"/>
      <c r="D20" s="5">
        <f t="shared" si="2"/>
        <v>0</v>
      </c>
      <c r="E20" s="9"/>
      <c r="F20" s="5">
        <f t="shared" si="3"/>
        <v>0</v>
      </c>
      <c r="G20" s="9"/>
      <c r="H20" s="5">
        <f t="shared" si="4"/>
        <v>0</v>
      </c>
      <c r="I20" s="9"/>
      <c r="J20" s="5">
        <f t="shared" si="5"/>
        <v>0</v>
      </c>
      <c r="K20" s="9"/>
      <c r="L20" s="5">
        <f t="shared" si="6"/>
        <v>0</v>
      </c>
      <c r="M20" s="9"/>
      <c r="N20" s="5">
        <f t="shared" si="7"/>
        <v>0</v>
      </c>
      <c r="O20" s="9"/>
      <c r="P20" s="5">
        <v>2000</v>
      </c>
      <c r="Q20" s="9"/>
      <c r="R20" s="5">
        <f t="shared" si="9"/>
        <v>0</v>
      </c>
      <c r="S20" s="9"/>
      <c r="T20" s="5">
        <f t="shared" si="10"/>
        <v>0</v>
      </c>
      <c r="U20" s="9"/>
      <c r="V20" s="5">
        <f t="shared" si="11"/>
        <v>0</v>
      </c>
      <c r="W20" s="9"/>
      <c r="X20" s="5">
        <f t="shared" si="12"/>
        <v>0</v>
      </c>
      <c r="Y20" s="9"/>
      <c r="Z20" s="5">
        <v>2000</v>
      </c>
      <c r="AA20" s="5">
        <f t="shared" si="13"/>
        <v>2000</v>
      </c>
      <c r="AB20" s="10"/>
    </row>
    <row r="21" spans="1:28">
      <c r="A21" s="3" t="s">
        <v>25</v>
      </c>
      <c r="B21" s="5">
        <f t="shared" si="1"/>
        <v>0</v>
      </c>
      <c r="C21" s="9">
        <v>0</v>
      </c>
      <c r="D21" s="5">
        <f t="shared" si="2"/>
        <v>0</v>
      </c>
      <c r="E21" s="9">
        <v>0</v>
      </c>
      <c r="F21" s="5">
        <f t="shared" si="3"/>
        <v>0</v>
      </c>
      <c r="G21" s="9">
        <v>0</v>
      </c>
      <c r="H21" s="5">
        <f t="shared" si="4"/>
        <v>0</v>
      </c>
      <c r="I21" s="9">
        <v>0</v>
      </c>
      <c r="J21" s="5">
        <f t="shared" si="5"/>
        <v>13712.521837110542</v>
      </c>
      <c r="K21" s="9">
        <v>0.47089704110956532</v>
      </c>
      <c r="L21" s="5">
        <f t="shared" si="6"/>
        <v>3692.7796688807562</v>
      </c>
      <c r="M21" s="9">
        <v>0.12681248862914685</v>
      </c>
      <c r="N21" s="5">
        <f t="shared" si="7"/>
        <v>6523.9107483560028</v>
      </c>
      <c r="O21" s="9">
        <v>0.22403539657815943</v>
      </c>
      <c r="P21" s="5">
        <f t="shared" si="8"/>
        <v>3101.9349218598354</v>
      </c>
      <c r="Q21" s="9">
        <v>0.10652249044848336</v>
      </c>
      <c r="R21" s="5">
        <f t="shared" si="9"/>
        <v>1916.5231059117614</v>
      </c>
      <c r="S21" s="9">
        <v>6.5814667098618176E-2</v>
      </c>
      <c r="T21" s="5">
        <f t="shared" si="10"/>
        <v>172.32971788110194</v>
      </c>
      <c r="U21" s="9">
        <v>5.9179161360268526E-3</v>
      </c>
      <c r="V21" s="5">
        <f t="shared" si="11"/>
        <v>0</v>
      </c>
      <c r="W21" s="9">
        <v>0</v>
      </c>
      <c r="X21" s="5">
        <f t="shared" si="12"/>
        <v>0</v>
      </c>
      <c r="Y21" s="9">
        <v>0</v>
      </c>
      <c r="Z21" s="5">
        <v>29120</v>
      </c>
      <c r="AA21" s="5">
        <f t="shared" si="13"/>
        <v>29120</v>
      </c>
      <c r="AB21" s="10"/>
    </row>
    <row r="22" spans="1:28">
      <c r="A22" s="3" t="s">
        <v>26</v>
      </c>
      <c r="B22" s="5">
        <f t="shared" si="1"/>
        <v>0</v>
      </c>
      <c r="C22" s="9">
        <v>0</v>
      </c>
      <c r="D22" s="5">
        <f t="shared" si="2"/>
        <v>0</v>
      </c>
      <c r="E22" s="9">
        <v>0</v>
      </c>
      <c r="F22" s="5">
        <f t="shared" si="3"/>
        <v>0</v>
      </c>
      <c r="G22" s="9">
        <v>0</v>
      </c>
      <c r="H22" s="5">
        <f t="shared" si="4"/>
        <v>0</v>
      </c>
      <c r="I22" s="9">
        <v>0</v>
      </c>
      <c r="J22" s="5">
        <f t="shared" si="5"/>
        <v>-142.08957925152103</v>
      </c>
      <c r="K22" s="9">
        <v>2.1044789625760507E-2</v>
      </c>
      <c r="L22" s="5">
        <f t="shared" si="6"/>
        <v>0</v>
      </c>
      <c r="M22" s="9">
        <v>0</v>
      </c>
      <c r="N22" s="5">
        <f t="shared" si="7"/>
        <v>-22.421735605890021</v>
      </c>
      <c r="O22" s="9">
        <v>3.3208678029450081E-3</v>
      </c>
      <c r="P22" s="5">
        <f t="shared" si="8"/>
        <v>0</v>
      </c>
      <c r="Q22" s="9">
        <v>0</v>
      </c>
      <c r="R22" s="5">
        <f t="shared" si="9"/>
        <v>-120.77614236379287</v>
      </c>
      <c r="S22" s="9">
        <v>1.788807118189643E-2</v>
      </c>
      <c r="T22" s="5">
        <f t="shared" si="10"/>
        <v>-6466.4825427787964</v>
      </c>
      <c r="U22" s="9">
        <v>0.95774627138939805</v>
      </c>
      <c r="V22" s="5">
        <f t="shared" si="11"/>
        <v>0</v>
      </c>
      <c r="W22" s="9">
        <v>0</v>
      </c>
      <c r="X22" s="5">
        <f t="shared" si="12"/>
        <v>0</v>
      </c>
      <c r="Y22" s="9">
        <v>0</v>
      </c>
      <c r="Z22" s="5">
        <v>-6751.77</v>
      </c>
      <c r="AA22" s="5">
        <f t="shared" si="13"/>
        <v>-6751.77</v>
      </c>
      <c r="AB22" s="10"/>
    </row>
    <row r="23" spans="1:28">
      <c r="A23" s="3" t="s">
        <v>27</v>
      </c>
      <c r="B23" s="6">
        <f>SUM(B20:B22)</f>
        <v>0</v>
      </c>
      <c r="C23" s="6">
        <f t="shared" ref="C23:X23" si="18">SUM(C20:C22)</f>
        <v>0</v>
      </c>
      <c r="D23" s="6">
        <f t="shared" si="18"/>
        <v>0</v>
      </c>
      <c r="E23" s="6">
        <f t="shared" si="18"/>
        <v>0</v>
      </c>
      <c r="F23" s="6">
        <f t="shared" si="18"/>
        <v>0</v>
      </c>
      <c r="G23" s="6">
        <f t="shared" si="18"/>
        <v>0</v>
      </c>
      <c r="H23" s="6">
        <f t="shared" si="18"/>
        <v>0</v>
      </c>
      <c r="I23" s="6">
        <f t="shared" si="18"/>
        <v>0</v>
      </c>
      <c r="J23" s="6">
        <f t="shared" si="18"/>
        <v>13570.432257859022</v>
      </c>
      <c r="K23" s="6">
        <f t="shared" si="18"/>
        <v>0.49194183073532582</v>
      </c>
      <c r="L23" s="6">
        <f t="shared" si="18"/>
        <v>3692.7796688807562</v>
      </c>
      <c r="M23" s="6">
        <f t="shared" si="18"/>
        <v>0.12681248862914685</v>
      </c>
      <c r="N23" s="6">
        <f t="shared" si="18"/>
        <v>6501.489012750113</v>
      </c>
      <c r="O23" s="6">
        <f t="shared" si="18"/>
        <v>0.22735626438110446</v>
      </c>
      <c r="P23" s="6">
        <f t="shared" si="18"/>
        <v>5101.9349218598354</v>
      </c>
      <c r="Q23" s="6">
        <f t="shared" si="18"/>
        <v>0.10652249044848336</v>
      </c>
      <c r="R23" s="6">
        <f t="shared" si="18"/>
        <v>1795.7469635479686</v>
      </c>
      <c r="S23" s="6">
        <f t="shared" si="18"/>
        <v>8.370273828051461E-2</v>
      </c>
      <c r="T23" s="6">
        <f t="shared" si="18"/>
        <v>-6294.1528248976947</v>
      </c>
      <c r="U23" s="6">
        <f t="shared" si="18"/>
        <v>0.96366418752542493</v>
      </c>
      <c r="V23" s="6">
        <f t="shared" si="18"/>
        <v>0</v>
      </c>
      <c r="W23" s="6">
        <f t="shared" si="18"/>
        <v>0</v>
      </c>
      <c r="X23" s="6">
        <f t="shared" si="18"/>
        <v>0</v>
      </c>
      <c r="Y23" s="9">
        <v>0</v>
      </c>
      <c r="Z23" s="6">
        <f>SUM(Z20:Z22)</f>
        <v>24368.23</v>
      </c>
      <c r="AA23" s="6">
        <f t="shared" si="13"/>
        <v>24368.230000000003</v>
      </c>
      <c r="AB23" s="10"/>
    </row>
    <row r="24" spans="1:28">
      <c r="A24" s="3" t="s">
        <v>28</v>
      </c>
      <c r="B24" s="5"/>
      <c r="C24" s="9"/>
      <c r="D24" s="5"/>
      <c r="E24" s="9"/>
      <c r="F24" s="5"/>
      <c r="G24" s="9"/>
      <c r="H24" s="5"/>
      <c r="I24" s="9"/>
      <c r="J24" s="5"/>
      <c r="K24" s="9"/>
      <c r="L24" s="5"/>
      <c r="M24" s="9"/>
      <c r="N24" s="5"/>
      <c r="O24" s="9"/>
      <c r="P24" s="5"/>
      <c r="Q24" s="9"/>
      <c r="R24" s="5"/>
      <c r="S24" s="9"/>
      <c r="T24" s="5"/>
      <c r="U24" s="9"/>
      <c r="V24" s="5"/>
      <c r="W24" s="9"/>
      <c r="X24" s="5"/>
      <c r="Y24" s="9"/>
      <c r="Z24" s="5"/>
      <c r="AA24" s="5"/>
      <c r="AB24" s="10"/>
    </row>
    <row r="25" spans="1:28">
      <c r="A25" s="3" t="s">
        <v>29</v>
      </c>
      <c r="B25" s="5">
        <f t="shared" si="1"/>
        <v>0</v>
      </c>
      <c r="C25" s="9">
        <v>0</v>
      </c>
      <c r="D25" s="5">
        <f t="shared" si="2"/>
        <v>250</v>
      </c>
      <c r="E25" s="9">
        <v>1</v>
      </c>
      <c r="F25" s="5">
        <f t="shared" si="3"/>
        <v>0</v>
      </c>
      <c r="G25" s="9">
        <v>0</v>
      </c>
      <c r="H25" s="5">
        <f t="shared" si="4"/>
        <v>0</v>
      </c>
      <c r="I25" s="9">
        <v>0</v>
      </c>
      <c r="J25" s="5">
        <f t="shared" si="5"/>
        <v>0</v>
      </c>
      <c r="K25" s="9">
        <v>0</v>
      </c>
      <c r="L25" s="5">
        <f t="shared" si="6"/>
        <v>0</v>
      </c>
      <c r="M25" s="9">
        <v>0</v>
      </c>
      <c r="N25" s="5">
        <f t="shared" si="7"/>
        <v>0</v>
      </c>
      <c r="O25" s="9">
        <v>0</v>
      </c>
      <c r="P25" s="5">
        <f t="shared" si="8"/>
        <v>0</v>
      </c>
      <c r="Q25" s="9">
        <v>0</v>
      </c>
      <c r="R25" s="5">
        <f t="shared" si="9"/>
        <v>0</v>
      </c>
      <c r="S25" s="9">
        <v>0</v>
      </c>
      <c r="T25" s="5">
        <f t="shared" si="10"/>
        <v>0</v>
      </c>
      <c r="U25" s="9">
        <v>0</v>
      </c>
      <c r="V25" s="5">
        <f t="shared" si="11"/>
        <v>0</v>
      </c>
      <c r="W25" s="9">
        <v>0</v>
      </c>
      <c r="X25" s="5">
        <f t="shared" si="12"/>
        <v>0</v>
      </c>
      <c r="Y25" s="9">
        <v>0</v>
      </c>
      <c r="Z25" s="5">
        <v>250</v>
      </c>
      <c r="AA25" s="5">
        <f t="shared" si="13"/>
        <v>250</v>
      </c>
      <c r="AB25" s="10"/>
    </row>
    <row r="26" spans="1:28">
      <c r="A26" s="3" t="s">
        <v>30</v>
      </c>
      <c r="B26" s="5">
        <f t="shared" si="1"/>
        <v>0</v>
      </c>
      <c r="C26" s="9">
        <v>0</v>
      </c>
      <c r="D26" s="5">
        <f t="shared" si="2"/>
        <v>0</v>
      </c>
      <c r="E26" s="9">
        <v>0</v>
      </c>
      <c r="F26" s="5">
        <f t="shared" si="3"/>
        <v>0</v>
      </c>
      <c r="G26" s="9">
        <v>0</v>
      </c>
      <c r="H26" s="5">
        <f t="shared" si="4"/>
        <v>0</v>
      </c>
      <c r="I26" s="9">
        <v>0</v>
      </c>
      <c r="J26" s="5">
        <f t="shared" si="5"/>
        <v>0</v>
      </c>
      <c r="K26" s="9">
        <v>0</v>
      </c>
      <c r="L26" s="5">
        <f t="shared" si="6"/>
        <v>0</v>
      </c>
      <c r="M26" s="9">
        <v>0</v>
      </c>
      <c r="N26" s="5">
        <f t="shared" si="7"/>
        <v>395.74468085106383</v>
      </c>
      <c r="O26" s="9">
        <v>0.26382978723404255</v>
      </c>
      <c r="P26" s="5">
        <f t="shared" si="8"/>
        <v>1104.255319148936</v>
      </c>
      <c r="Q26" s="9">
        <v>0.7361702127659574</v>
      </c>
      <c r="R26" s="5">
        <f t="shared" si="9"/>
        <v>0</v>
      </c>
      <c r="S26" s="9">
        <v>0</v>
      </c>
      <c r="T26" s="5">
        <f t="shared" si="10"/>
        <v>0</v>
      </c>
      <c r="U26" s="9">
        <v>0</v>
      </c>
      <c r="V26" s="5">
        <f t="shared" si="11"/>
        <v>0</v>
      </c>
      <c r="W26" s="9">
        <v>0</v>
      </c>
      <c r="X26" s="5">
        <f t="shared" si="12"/>
        <v>0</v>
      </c>
      <c r="Y26" s="9">
        <v>0</v>
      </c>
      <c r="Z26" s="5">
        <v>1500</v>
      </c>
      <c r="AA26" s="5">
        <f t="shared" si="13"/>
        <v>1499.9999999999998</v>
      </c>
      <c r="AB26" s="10"/>
    </row>
    <row r="27" spans="1:28">
      <c r="A27" s="3" t="s">
        <v>31</v>
      </c>
      <c r="B27" s="5">
        <v>0</v>
      </c>
      <c r="C27" s="9">
        <v>0.63727238342248882</v>
      </c>
      <c r="D27" s="5">
        <f t="shared" si="2"/>
        <v>0</v>
      </c>
      <c r="E27" s="9">
        <v>0</v>
      </c>
      <c r="F27" s="5">
        <f t="shared" si="3"/>
        <v>0</v>
      </c>
      <c r="G27" s="9">
        <v>0</v>
      </c>
      <c r="H27" s="5">
        <f t="shared" si="4"/>
        <v>0</v>
      </c>
      <c r="I27" s="9">
        <v>0</v>
      </c>
      <c r="J27" s="5">
        <f t="shared" si="5"/>
        <v>0</v>
      </c>
      <c r="K27" s="9">
        <v>0</v>
      </c>
      <c r="L27" s="5">
        <f t="shared" si="6"/>
        <v>0</v>
      </c>
      <c r="M27" s="9">
        <v>0</v>
      </c>
      <c r="N27" s="5">
        <v>-200</v>
      </c>
      <c r="O27" s="9">
        <v>0</v>
      </c>
      <c r="P27" s="5">
        <f t="shared" si="8"/>
        <v>0</v>
      </c>
      <c r="Q27" s="9">
        <v>0</v>
      </c>
      <c r="R27" s="5">
        <v>-300</v>
      </c>
      <c r="S27" s="9">
        <v>0.36272761657751118</v>
      </c>
      <c r="T27" s="5">
        <f t="shared" si="10"/>
        <v>0</v>
      </c>
      <c r="U27" s="9">
        <v>0</v>
      </c>
      <c r="V27" s="5">
        <f t="shared" si="11"/>
        <v>0</v>
      </c>
      <c r="W27" s="9">
        <v>0</v>
      </c>
      <c r="X27" s="5">
        <f t="shared" si="12"/>
        <v>0</v>
      </c>
      <c r="Y27" s="9">
        <v>0</v>
      </c>
      <c r="Z27" s="5">
        <v>-500</v>
      </c>
      <c r="AA27" s="5">
        <f t="shared" si="13"/>
        <v>-500</v>
      </c>
      <c r="AB27" s="10"/>
    </row>
    <row r="28" spans="1:28">
      <c r="A28" s="3" t="s">
        <v>129</v>
      </c>
      <c r="B28" s="5">
        <f t="shared" si="1"/>
        <v>0</v>
      </c>
      <c r="C28" s="9">
        <v>0</v>
      </c>
      <c r="D28" s="5">
        <f t="shared" si="2"/>
        <v>0</v>
      </c>
      <c r="E28" s="9">
        <v>0</v>
      </c>
      <c r="F28" s="5">
        <f t="shared" si="3"/>
        <v>0</v>
      </c>
      <c r="G28" s="9">
        <v>0</v>
      </c>
      <c r="H28" s="5">
        <f t="shared" si="4"/>
        <v>0</v>
      </c>
      <c r="I28" s="9">
        <v>0</v>
      </c>
      <c r="J28" s="5">
        <f t="shared" si="5"/>
        <v>0</v>
      </c>
      <c r="K28" s="9">
        <v>0</v>
      </c>
      <c r="L28" s="5">
        <f t="shared" si="6"/>
        <v>0</v>
      </c>
      <c r="M28" s="9">
        <v>0</v>
      </c>
      <c r="N28" s="5">
        <f t="shared" si="7"/>
        <v>0</v>
      </c>
      <c r="O28" s="9">
        <v>0</v>
      </c>
      <c r="P28" s="5">
        <f t="shared" si="8"/>
        <v>0</v>
      </c>
      <c r="Q28" s="9">
        <v>0</v>
      </c>
      <c r="R28" s="5">
        <f t="shared" si="9"/>
        <v>0</v>
      </c>
      <c r="S28" s="9">
        <v>1</v>
      </c>
      <c r="T28" s="5">
        <f t="shared" si="10"/>
        <v>0</v>
      </c>
      <c r="U28" s="9">
        <v>0</v>
      </c>
      <c r="V28" s="5">
        <f t="shared" si="11"/>
        <v>0</v>
      </c>
      <c r="W28" s="9">
        <v>0</v>
      </c>
      <c r="X28" s="5">
        <f t="shared" si="12"/>
        <v>0</v>
      </c>
      <c r="Y28" s="9">
        <v>0</v>
      </c>
      <c r="Z28" s="5"/>
      <c r="AA28" s="5">
        <f t="shared" si="13"/>
        <v>0</v>
      </c>
      <c r="AB28" s="10"/>
    </row>
    <row r="29" spans="1:28">
      <c r="A29" s="3" t="s">
        <v>32</v>
      </c>
      <c r="B29" s="5">
        <f t="shared" si="1"/>
        <v>0</v>
      </c>
      <c r="C29" s="9"/>
      <c r="D29" s="5">
        <f t="shared" si="2"/>
        <v>0</v>
      </c>
      <c r="E29" s="9"/>
      <c r="F29" s="5">
        <f t="shared" si="3"/>
        <v>0</v>
      </c>
      <c r="G29" s="9"/>
      <c r="H29" s="5">
        <f t="shared" si="4"/>
        <v>0</v>
      </c>
      <c r="I29" s="9"/>
      <c r="J29" s="5">
        <f t="shared" si="5"/>
        <v>0</v>
      </c>
      <c r="K29" s="9"/>
      <c r="L29" s="5">
        <f t="shared" si="6"/>
        <v>0</v>
      </c>
      <c r="M29" s="9"/>
      <c r="N29" s="5">
        <f t="shared" si="7"/>
        <v>0</v>
      </c>
      <c r="O29" s="9"/>
      <c r="P29" s="5">
        <f t="shared" si="8"/>
        <v>0</v>
      </c>
      <c r="Q29" s="9"/>
      <c r="R29" s="5">
        <f t="shared" si="9"/>
        <v>0</v>
      </c>
      <c r="S29" s="9"/>
      <c r="T29" s="5">
        <f t="shared" si="10"/>
        <v>0</v>
      </c>
      <c r="U29" s="9"/>
      <c r="V29" s="5">
        <f t="shared" si="11"/>
        <v>0</v>
      </c>
      <c r="W29" s="9"/>
      <c r="X29" s="5">
        <f t="shared" si="12"/>
        <v>0</v>
      </c>
      <c r="Y29" s="9"/>
      <c r="Z29" s="5"/>
      <c r="AA29" s="5">
        <f t="shared" si="13"/>
        <v>0</v>
      </c>
      <c r="AB29" s="10"/>
    </row>
    <row r="30" spans="1:28">
      <c r="A30" s="3" t="s">
        <v>130</v>
      </c>
      <c r="B30" s="5">
        <f t="shared" si="1"/>
        <v>0</v>
      </c>
      <c r="C30" s="9"/>
      <c r="D30" s="5">
        <f t="shared" si="2"/>
        <v>0</v>
      </c>
      <c r="E30" s="9"/>
      <c r="F30" s="5">
        <f t="shared" si="3"/>
        <v>0</v>
      </c>
      <c r="G30" s="9"/>
      <c r="H30" s="5">
        <f t="shared" si="4"/>
        <v>0</v>
      </c>
      <c r="I30" s="9"/>
      <c r="J30" s="5">
        <f t="shared" si="5"/>
        <v>0</v>
      </c>
      <c r="K30" s="9"/>
      <c r="L30" s="5">
        <f t="shared" si="6"/>
        <v>0</v>
      </c>
      <c r="M30" s="9"/>
      <c r="N30" s="5">
        <f t="shared" si="7"/>
        <v>0</v>
      </c>
      <c r="O30" s="9"/>
      <c r="P30" s="5">
        <f t="shared" si="8"/>
        <v>0</v>
      </c>
      <c r="Q30" s="9"/>
      <c r="R30" s="5">
        <f t="shared" si="9"/>
        <v>0</v>
      </c>
      <c r="S30" s="9"/>
      <c r="T30" s="5">
        <f t="shared" si="10"/>
        <v>0</v>
      </c>
      <c r="U30" s="9"/>
      <c r="V30" s="5">
        <f t="shared" si="11"/>
        <v>0</v>
      </c>
      <c r="W30" s="9"/>
      <c r="X30" s="5">
        <f t="shared" si="12"/>
        <v>0</v>
      </c>
      <c r="Y30" s="9"/>
      <c r="Z30" s="5"/>
      <c r="AA30" s="5">
        <f t="shared" si="13"/>
        <v>0</v>
      </c>
      <c r="AB30" s="10"/>
    </row>
    <row r="31" spans="1:28">
      <c r="A31" s="3" t="s">
        <v>33</v>
      </c>
      <c r="B31" s="6">
        <f>SUM(B25:B30)</f>
        <v>0</v>
      </c>
      <c r="C31" s="6">
        <f t="shared" ref="C31:X31" si="19">SUM(C25:C30)</f>
        <v>0.63727238342248882</v>
      </c>
      <c r="D31" s="6">
        <f t="shared" si="19"/>
        <v>250</v>
      </c>
      <c r="E31" s="6">
        <f t="shared" si="19"/>
        <v>1</v>
      </c>
      <c r="F31" s="6">
        <f t="shared" si="19"/>
        <v>0</v>
      </c>
      <c r="G31" s="6">
        <f t="shared" si="19"/>
        <v>0</v>
      </c>
      <c r="H31" s="6">
        <f t="shared" si="19"/>
        <v>0</v>
      </c>
      <c r="I31" s="6">
        <f t="shared" si="19"/>
        <v>0</v>
      </c>
      <c r="J31" s="6">
        <f t="shared" si="19"/>
        <v>0</v>
      </c>
      <c r="K31" s="6">
        <f t="shared" si="19"/>
        <v>0</v>
      </c>
      <c r="L31" s="6">
        <f t="shared" si="19"/>
        <v>0</v>
      </c>
      <c r="M31" s="6">
        <f t="shared" si="19"/>
        <v>0</v>
      </c>
      <c r="N31" s="6">
        <f t="shared" si="19"/>
        <v>195.74468085106383</v>
      </c>
      <c r="O31" s="6">
        <f t="shared" si="19"/>
        <v>0.26382978723404255</v>
      </c>
      <c r="P31" s="6">
        <f t="shared" si="19"/>
        <v>1104.255319148936</v>
      </c>
      <c r="Q31" s="6">
        <f t="shared" si="19"/>
        <v>0.7361702127659574</v>
      </c>
      <c r="R31" s="6">
        <f t="shared" si="19"/>
        <v>-300</v>
      </c>
      <c r="S31" s="6">
        <f t="shared" si="19"/>
        <v>1.3627276165775113</v>
      </c>
      <c r="T31" s="6">
        <f t="shared" si="19"/>
        <v>0</v>
      </c>
      <c r="U31" s="6">
        <f t="shared" si="19"/>
        <v>0</v>
      </c>
      <c r="V31" s="6">
        <f t="shared" si="19"/>
        <v>0</v>
      </c>
      <c r="W31" s="6">
        <f t="shared" si="19"/>
        <v>0</v>
      </c>
      <c r="X31" s="6">
        <f t="shared" si="19"/>
        <v>0</v>
      </c>
      <c r="Y31" s="9">
        <v>0</v>
      </c>
      <c r="Z31" s="6">
        <f>SUM(Z25:Z30)</f>
        <v>1250</v>
      </c>
      <c r="AA31" s="6">
        <f t="shared" si="13"/>
        <v>1249.9999999999998</v>
      </c>
      <c r="AB31" s="10"/>
    </row>
    <row r="32" spans="1:28">
      <c r="A32" s="3" t="s">
        <v>34</v>
      </c>
      <c r="B32" s="5"/>
      <c r="C32" s="9"/>
      <c r="D32" s="5"/>
      <c r="E32" s="9"/>
      <c r="F32" s="5"/>
      <c r="G32" s="9"/>
      <c r="H32" s="5"/>
      <c r="I32" s="9"/>
      <c r="J32" s="5"/>
      <c r="K32" s="9"/>
      <c r="L32" s="5"/>
      <c r="M32" s="9"/>
      <c r="N32" s="5"/>
      <c r="O32" s="9"/>
      <c r="P32" s="5"/>
      <c r="Q32" s="9"/>
      <c r="R32" s="5"/>
      <c r="S32" s="9"/>
      <c r="T32" s="5"/>
      <c r="U32" s="9"/>
      <c r="V32" s="5"/>
      <c r="W32" s="9"/>
      <c r="X32" s="5">
        <f t="shared" si="12"/>
        <v>0</v>
      </c>
      <c r="Y32" s="9"/>
      <c r="Z32" s="5"/>
      <c r="AA32" s="5">
        <f t="shared" si="13"/>
        <v>0</v>
      </c>
      <c r="AB32" s="10"/>
    </row>
    <row r="33" spans="1:28">
      <c r="A33" s="3" t="s">
        <v>35</v>
      </c>
      <c r="B33" s="5">
        <f t="shared" si="1"/>
        <v>0</v>
      </c>
      <c r="C33" s="9">
        <v>0</v>
      </c>
      <c r="D33" s="5">
        <f t="shared" si="2"/>
        <v>0</v>
      </c>
      <c r="E33" s="9">
        <v>0</v>
      </c>
      <c r="F33" s="5">
        <f t="shared" si="3"/>
        <v>0</v>
      </c>
      <c r="G33" s="9">
        <v>0</v>
      </c>
      <c r="H33" s="5">
        <f t="shared" si="4"/>
        <v>0</v>
      </c>
      <c r="I33" s="9">
        <v>0</v>
      </c>
      <c r="J33" s="5">
        <f t="shared" si="5"/>
        <v>0</v>
      </c>
      <c r="K33" s="9">
        <v>0</v>
      </c>
      <c r="L33" s="5">
        <f t="shared" si="6"/>
        <v>0</v>
      </c>
      <c r="M33" s="9">
        <v>0</v>
      </c>
      <c r="N33" s="5">
        <f t="shared" si="7"/>
        <v>0</v>
      </c>
      <c r="O33" s="9">
        <v>0</v>
      </c>
      <c r="P33" s="5">
        <f t="shared" si="8"/>
        <v>0</v>
      </c>
      <c r="Q33" s="9">
        <v>0</v>
      </c>
      <c r="R33" s="5">
        <f t="shared" si="9"/>
        <v>1588.7323943661972</v>
      </c>
      <c r="S33" s="9">
        <v>0.11267605633802817</v>
      </c>
      <c r="T33" s="5">
        <f t="shared" si="10"/>
        <v>2959.0140845070423</v>
      </c>
      <c r="U33" s="9">
        <v>0.20985915492957746</v>
      </c>
      <c r="V33" s="5">
        <f t="shared" si="11"/>
        <v>6374.788732394366</v>
      </c>
      <c r="W33" s="9">
        <v>0.45211267605633804</v>
      </c>
      <c r="X33" s="5">
        <f t="shared" si="12"/>
        <v>3177.4647887323945</v>
      </c>
      <c r="Y33" s="9">
        <v>0.22535211267605634</v>
      </c>
      <c r="Z33" s="5">
        <v>14100</v>
      </c>
      <c r="AA33" s="5">
        <f t="shared" si="13"/>
        <v>14100</v>
      </c>
      <c r="AB33" s="10"/>
    </row>
    <row r="34" spans="1:28">
      <c r="A34" s="3" t="s">
        <v>36</v>
      </c>
      <c r="B34" s="5">
        <f t="shared" si="1"/>
        <v>0</v>
      </c>
      <c r="C34" s="9">
        <v>0</v>
      </c>
      <c r="D34" s="5">
        <f t="shared" si="2"/>
        <v>0</v>
      </c>
      <c r="E34" s="9">
        <v>0</v>
      </c>
      <c r="F34" s="5">
        <f t="shared" si="3"/>
        <v>0</v>
      </c>
      <c r="G34" s="9">
        <v>0</v>
      </c>
      <c r="H34" s="5">
        <f t="shared" si="4"/>
        <v>0</v>
      </c>
      <c r="I34" s="9">
        <v>0</v>
      </c>
      <c r="J34" s="5">
        <f t="shared" si="5"/>
        <v>0</v>
      </c>
      <c r="K34" s="9">
        <v>0</v>
      </c>
      <c r="L34" s="5">
        <f t="shared" si="6"/>
        <v>0</v>
      </c>
      <c r="M34" s="9">
        <v>0</v>
      </c>
      <c r="N34" s="5">
        <f t="shared" si="7"/>
        <v>0</v>
      </c>
      <c r="O34" s="9">
        <v>0</v>
      </c>
      <c r="P34" s="5">
        <f t="shared" si="8"/>
        <v>0</v>
      </c>
      <c r="Q34" s="9">
        <v>0</v>
      </c>
      <c r="R34" s="5">
        <f t="shared" si="9"/>
        <v>243.03621169916434</v>
      </c>
      <c r="S34" s="9">
        <v>2.7855153203342618E-2</v>
      </c>
      <c r="T34" s="5">
        <f t="shared" si="10"/>
        <v>4957.9387186629519</v>
      </c>
      <c r="U34" s="9">
        <v>0.56824512534818938</v>
      </c>
      <c r="V34" s="5">
        <f t="shared" si="11"/>
        <v>3280.9888579387184</v>
      </c>
      <c r="W34" s="9">
        <v>0.37604456824512533</v>
      </c>
      <c r="X34" s="5">
        <f t="shared" si="12"/>
        <v>243.03621169916434</v>
      </c>
      <c r="Y34" s="9">
        <v>2.7855153203342618E-2</v>
      </c>
      <c r="Z34" s="5">
        <v>8725</v>
      </c>
      <c r="AA34" s="5">
        <f t="shared" si="13"/>
        <v>8724.9999999999982</v>
      </c>
      <c r="AB34" s="10"/>
    </row>
    <row r="35" spans="1:28">
      <c r="A35" s="3" t="s">
        <v>37</v>
      </c>
      <c r="B35" s="5">
        <f t="shared" si="1"/>
        <v>0</v>
      </c>
      <c r="C35" s="9">
        <v>0</v>
      </c>
      <c r="D35" s="5">
        <f t="shared" si="2"/>
        <v>0</v>
      </c>
      <c r="E35" s="9">
        <v>0</v>
      </c>
      <c r="F35" s="5">
        <f t="shared" si="3"/>
        <v>0</v>
      </c>
      <c r="G35" s="9">
        <v>0</v>
      </c>
      <c r="H35" s="5">
        <f t="shared" si="4"/>
        <v>0</v>
      </c>
      <c r="I35" s="9">
        <v>0</v>
      </c>
      <c r="J35" s="5">
        <f t="shared" si="5"/>
        <v>0</v>
      </c>
      <c r="K35" s="9">
        <v>0</v>
      </c>
      <c r="L35" s="5">
        <f t="shared" si="6"/>
        <v>0</v>
      </c>
      <c r="M35" s="9">
        <v>0</v>
      </c>
      <c r="N35" s="5">
        <f t="shared" si="7"/>
        <v>0</v>
      </c>
      <c r="O35" s="9">
        <v>0</v>
      </c>
      <c r="P35" s="5">
        <f t="shared" si="8"/>
        <v>0</v>
      </c>
      <c r="Q35" s="9">
        <v>0</v>
      </c>
      <c r="R35" s="5">
        <f t="shared" si="9"/>
        <v>0</v>
      </c>
      <c r="S35" s="9">
        <v>0</v>
      </c>
      <c r="T35" s="5">
        <f t="shared" si="10"/>
        <v>-5895.1050754284788</v>
      </c>
      <c r="U35" s="9">
        <v>0.23580420301713914</v>
      </c>
      <c r="V35" s="5">
        <f t="shared" si="11"/>
        <v>-82.452514216044648</v>
      </c>
      <c r="W35" s="9">
        <v>3.298100568641786E-3</v>
      </c>
      <c r="X35" s="5">
        <f t="shared" si="12"/>
        <v>-19022.442410355474</v>
      </c>
      <c r="Y35" s="9">
        <v>0.760897696414219</v>
      </c>
      <c r="Z35" s="5">
        <v>-25000</v>
      </c>
      <c r="AA35" s="5">
        <f t="shared" si="13"/>
        <v>-24999.999999999996</v>
      </c>
      <c r="AB35" s="10"/>
    </row>
    <row r="36" spans="1:28">
      <c r="A36" s="3" t="s">
        <v>38</v>
      </c>
      <c r="B36" s="6">
        <f>SUM(B33:B35)</f>
        <v>0</v>
      </c>
      <c r="C36" s="6">
        <f t="shared" ref="C36:X36" si="20">SUM(C33:C35)</f>
        <v>0</v>
      </c>
      <c r="D36" s="6">
        <f t="shared" si="20"/>
        <v>0</v>
      </c>
      <c r="E36" s="6">
        <f t="shared" si="20"/>
        <v>0</v>
      </c>
      <c r="F36" s="6">
        <f t="shared" si="20"/>
        <v>0</v>
      </c>
      <c r="G36" s="6">
        <f t="shared" si="20"/>
        <v>0</v>
      </c>
      <c r="H36" s="6">
        <f t="shared" si="20"/>
        <v>0</v>
      </c>
      <c r="I36" s="6">
        <f t="shared" si="20"/>
        <v>0</v>
      </c>
      <c r="J36" s="6">
        <f t="shared" si="20"/>
        <v>0</v>
      </c>
      <c r="K36" s="6">
        <f t="shared" si="20"/>
        <v>0</v>
      </c>
      <c r="L36" s="6">
        <f t="shared" si="20"/>
        <v>0</v>
      </c>
      <c r="M36" s="6">
        <f t="shared" si="20"/>
        <v>0</v>
      </c>
      <c r="N36" s="6">
        <f t="shared" si="20"/>
        <v>0</v>
      </c>
      <c r="O36" s="6">
        <f t="shared" si="20"/>
        <v>0</v>
      </c>
      <c r="P36" s="6">
        <f t="shared" si="20"/>
        <v>0</v>
      </c>
      <c r="Q36" s="6">
        <f t="shared" si="20"/>
        <v>0</v>
      </c>
      <c r="R36" s="6">
        <f t="shared" si="20"/>
        <v>1831.7686060653616</v>
      </c>
      <c r="S36" s="6">
        <f t="shared" si="20"/>
        <v>0.1405312095413708</v>
      </c>
      <c r="T36" s="6">
        <f t="shared" si="20"/>
        <v>2021.847727741515</v>
      </c>
      <c r="U36" s="6">
        <f t="shared" si="20"/>
        <v>1.0139084832949061</v>
      </c>
      <c r="V36" s="6">
        <f t="shared" si="20"/>
        <v>9573.3250761170384</v>
      </c>
      <c r="W36" s="6">
        <f t="shared" si="20"/>
        <v>0.83145534487010508</v>
      </c>
      <c r="X36" s="6">
        <f t="shared" si="20"/>
        <v>-15601.941409923915</v>
      </c>
      <c r="Y36" s="9">
        <v>20.642720294673808</v>
      </c>
      <c r="Z36" s="6">
        <f>SUM(Z33:Z35)</f>
        <v>-2175</v>
      </c>
      <c r="AA36" s="6">
        <f t="shared" si="13"/>
        <v>-2175</v>
      </c>
      <c r="AB36" s="10"/>
    </row>
    <row r="37" spans="1:28">
      <c r="A37" s="3" t="s">
        <v>39</v>
      </c>
      <c r="B37" s="5"/>
      <c r="C37" s="9"/>
      <c r="D37" s="5"/>
      <c r="E37" s="9"/>
      <c r="F37" s="5"/>
      <c r="G37" s="9"/>
      <c r="H37" s="5"/>
      <c r="I37" s="9"/>
      <c r="J37" s="5"/>
      <c r="K37" s="9"/>
      <c r="L37" s="5"/>
      <c r="M37" s="9"/>
      <c r="N37" s="5"/>
      <c r="O37" s="9"/>
      <c r="P37" s="5"/>
      <c r="Q37" s="9"/>
      <c r="R37" s="5"/>
      <c r="S37" s="9"/>
      <c r="T37" s="5"/>
      <c r="U37" s="9"/>
      <c r="V37" s="5"/>
      <c r="W37" s="9"/>
      <c r="X37" s="5"/>
      <c r="Y37" s="9"/>
      <c r="Z37" s="5"/>
      <c r="AA37" s="5"/>
      <c r="AB37" s="10"/>
    </row>
    <row r="38" spans="1:28">
      <c r="A38" s="3" t="s">
        <v>40</v>
      </c>
      <c r="B38" s="5">
        <f t="shared" si="1"/>
        <v>0</v>
      </c>
      <c r="C38" s="9">
        <v>0.87012987012987009</v>
      </c>
      <c r="D38" s="5">
        <f t="shared" si="2"/>
        <v>0</v>
      </c>
      <c r="E38" s="9">
        <v>0.12987012987012986</v>
      </c>
      <c r="F38" s="5">
        <f t="shared" si="3"/>
        <v>0</v>
      </c>
      <c r="G38" s="9">
        <v>0</v>
      </c>
      <c r="H38" s="5">
        <f t="shared" si="4"/>
        <v>0</v>
      </c>
      <c r="I38" s="9">
        <v>0</v>
      </c>
      <c r="J38" s="5">
        <f t="shared" si="5"/>
        <v>0</v>
      </c>
      <c r="K38" s="9">
        <v>0</v>
      </c>
      <c r="L38" s="5">
        <f t="shared" si="6"/>
        <v>0</v>
      </c>
      <c r="M38" s="9">
        <v>0</v>
      </c>
      <c r="N38" s="5">
        <f t="shared" si="7"/>
        <v>0</v>
      </c>
      <c r="O38" s="9">
        <v>0</v>
      </c>
      <c r="P38" s="5">
        <f t="shared" si="8"/>
        <v>0</v>
      </c>
      <c r="Q38" s="9">
        <v>0</v>
      </c>
      <c r="R38" s="5">
        <f t="shared" si="9"/>
        <v>0</v>
      </c>
      <c r="S38" s="9">
        <v>0</v>
      </c>
      <c r="T38" s="5">
        <f t="shared" si="10"/>
        <v>0</v>
      </c>
      <c r="U38" s="9">
        <v>0</v>
      </c>
      <c r="V38" s="5">
        <f t="shared" si="11"/>
        <v>0</v>
      </c>
      <c r="W38" s="9">
        <v>0</v>
      </c>
      <c r="X38" s="5">
        <f t="shared" si="12"/>
        <v>0</v>
      </c>
      <c r="Y38" s="9">
        <v>0</v>
      </c>
      <c r="Z38" s="5">
        <v>0</v>
      </c>
      <c r="AA38" s="5">
        <f t="shared" si="13"/>
        <v>0</v>
      </c>
      <c r="AB38" s="10"/>
    </row>
    <row r="39" spans="1:28">
      <c r="A39" s="3" t="s">
        <v>41</v>
      </c>
      <c r="B39" s="5">
        <f t="shared" si="1"/>
        <v>0</v>
      </c>
      <c r="C39" s="9">
        <v>0</v>
      </c>
      <c r="D39" s="5">
        <f t="shared" si="2"/>
        <v>-58.818762513108972</v>
      </c>
      <c r="E39" s="9">
        <v>0.39212508342072649</v>
      </c>
      <c r="F39" s="5">
        <f t="shared" si="3"/>
        <v>0</v>
      </c>
      <c r="G39" s="9">
        <v>0</v>
      </c>
      <c r="H39" s="5">
        <f t="shared" si="4"/>
        <v>-91.181237486891021</v>
      </c>
      <c r="I39" s="9">
        <v>0.60787491657927351</v>
      </c>
      <c r="J39" s="5">
        <f t="shared" si="5"/>
        <v>0</v>
      </c>
      <c r="K39" s="9">
        <v>0</v>
      </c>
      <c r="L39" s="5">
        <f t="shared" si="6"/>
        <v>0</v>
      </c>
      <c r="M39" s="9">
        <v>0</v>
      </c>
      <c r="N39" s="5">
        <f t="shared" si="7"/>
        <v>0</v>
      </c>
      <c r="O39" s="9">
        <v>0</v>
      </c>
      <c r="P39" s="5">
        <f t="shared" si="8"/>
        <v>0</v>
      </c>
      <c r="Q39" s="9">
        <v>0</v>
      </c>
      <c r="R39" s="5">
        <f t="shared" si="9"/>
        <v>0</v>
      </c>
      <c r="S39" s="9">
        <v>0</v>
      </c>
      <c r="T39" s="5">
        <f t="shared" si="10"/>
        <v>0</v>
      </c>
      <c r="U39" s="9">
        <v>0</v>
      </c>
      <c r="V39" s="5">
        <f t="shared" si="11"/>
        <v>0</v>
      </c>
      <c r="W39" s="9">
        <v>0</v>
      </c>
      <c r="X39" s="5">
        <f t="shared" si="12"/>
        <v>0</v>
      </c>
      <c r="Y39" s="9">
        <v>0</v>
      </c>
      <c r="Z39" s="5">
        <v>-150</v>
      </c>
      <c r="AA39" s="5">
        <f t="shared" si="13"/>
        <v>-150</v>
      </c>
      <c r="AB39" s="10"/>
    </row>
    <row r="40" spans="1:28">
      <c r="A40" s="3" t="s">
        <v>42</v>
      </c>
      <c r="B40" s="6">
        <f>SUM(B38:B39)</f>
        <v>0</v>
      </c>
      <c r="C40" s="6">
        <f t="shared" ref="C40:X40" si="21">SUM(C38:C39)</f>
        <v>0.87012987012987009</v>
      </c>
      <c r="D40" s="6">
        <f t="shared" si="21"/>
        <v>-58.818762513108972</v>
      </c>
      <c r="E40" s="6">
        <f t="shared" si="21"/>
        <v>0.5219952132908563</v>
      </c>
      <c r="F40" s="6">
        <f t="shared" si="21"/>
        <v>0</v>
      </c>
      <c r="G40" s="6">
        <f t="shared" si="21"/>
        <v>0</v>
      </c>
      <c r="H40" s="6">
        <f t="shared" si="21"/>
        <v>-91.181237486891021</v>
      </c>
      <c r="I40" s="6">
        <f t="shared" si="21"/>
        <v>0.60787491657927351</v>
      </c>
      <c r="J40" s="6">
        <f t="shared" si="21"/>
        <v>0</v>
      </c>
      <c r="K40" s="6">
        <f t="shared" si="21"/>
        <v>0</v>
      </c>
      <c r="L40" s="6">
        <f t="shared" si="21"/>
        <v>0</v>
      </c>
      <c r="M40" s="6">
        <f t="shared" si="21"/>
        <v>0</v>
      </c>
      <c r="N40" s="6">
        <f t="shared" si="21"/>
        <v>0</v>
      </c>
      <c r="O40" s="6">
        <f t="shared" si="21"/>
        <v>0</v>
      </c>
      <c r="P40" s="6">
        <f t="shared" si="21"/>
        <v>0</v>
      </c>
      <c r="Q40" s="6">
        <f t="shared" si="21"/>
        <v>0</v>
      </c>
      <c r="R40" s="6">
        <f t="shared" si="21"/>
        <v>0</v>
      </c>
      <c r="S40" s="6">
        <f t="shared" si="21"/>
        <v>0</v>
      </c>
      <c r="T40" s="6">
        <f t="shared" si="21"/>
        <v>0</v>
      </c>
      <c r="U40" s="6">
        <f t="shared" si="21"/>
        <v>0</v>
      </c>
      <c r="V40" s="6">
        <f t="shared" si="21"/>
        <v>0</v>
      </c>
      <c r="W40" s="6">
        <f t="shared" si="21"/>
        <v>0</v>
      </c>
      <c r="X40" s="6">
        <f t="shared" si="21"/>
        <v>0</v>
      </c>
      <c r="Y40" s="9">
        <v>0</v>
      </c>
      <c r="Z40" s="6">
        <f>SUM(Z38:Z39)</f>
        <v>-150</v>
      </c>
      <c r="AA40" s="6">
        <f t="shared" si="13"/>
        <v>-150</v>
      </c>
      <c r="AB40" s="10"/>
    </row>
    <row r="41" spans="1:28">
      <c r="A41" s="3" t="s">
        <v>43</v>
      </c>
      <c r="B41" s="5"/>
      <c r="C41" s="9"/>
      <c r="D41" s="5"/>
      <c r="E41" s="9"/>
      <c r="F41" s="5"/>
      <c r="G41" s="9"/>
      <c r="H41" s="5"/>
      <c r="I41" s="9"/>
      <c r="J41" s="5"/>
      <c r="K41" s="9"/>
      <c r="L41" s="5"/>
      <c r="M41" s="9"/>
      <c r="N41" s="5"/>
      <c r="O41" s="9"/>
      <c r="P41" s="5"/>
      <c r="Q41" s="9"/>
      <c r="R41" s="5"/>
      <c r="S41" s="9"/>
      <c r="T41" s="5"/>
      <c r="U41" s="9"/>
      <c r="V41" s="5"/>
      <c r="W41" s="9"/>
      <c r="X41" s="5"/>
      <c r="Y41" s="9"/>
      <c r="Z41" s="5"/>
      <c r="AA41" s="5"/>
      <c r="AB41" s="10"/>
    </row>
    <row r="42" spans="1:28">
      <c r="A42" s="3" t="s">
        <v>44</v>
      </c>
      <c r="B42" s="5">
        <v>250</v>
      </c>
      <c r="C42" s="9">
        <v>0</v>
      </c>
      <c r="D42" s="5">
        <v>250</v>
      </c>
      <c r="E42" s="9">
        <v>0</v>
      </c>
      <c r="F42" s="5">
        <v>250</v>
      </c>
      <c r="G42" s="9">
        <v>0.32644178454842221</v>
      </c>
      <c r="H42" s="5">
        <v>250</v>
      </c>
      <c r="I42" s="9">
        <v>0.12948857453754081</v>
      </c>
      <c r="J42" s="5">
        <v>250</v>
      </c>
      <c r="K42" s="9">
        <v>0.18135654697134568</v>
      </c>
      <c r="L42" s="5">
        <v>250</v>
      </c>
      <c r="M42" s="9">
        <v>9.0678273485672839E-2</v>
      </c>
      <c r="N42" s="5">
        <v>250</v>
      </c>
      <c r="O42" s="9">
        <v>9.0678273485672839E-2</v>
      </c>
      <c r="P42" s="5">
        <v>250</v>
      </c>
      <c r="Q42" s="9">
        <v>0.18135654697134568</v>
      </c>
      <c r="R42" s="5">
        <v>250</v>
      </c>
      <c r="S42" s="9">
        <v>0</v>
      </c>
      <c r="T42" s="5">
        <v>250</v>
      </c>
      <c r="U42" s="9">
        <v>0</v>
      </c>
      <c r="V42" s="5">
        <v>250</v>
      </c>
      <c r="W42" s="9">
        <v>0</v>
      </c>
      <c r="X42" s="5">
        <v>250</v>
      </c>
      <c r="Y42" s="9">
        <v>0</v>
      </c>
      <c r="Z42" s="5">
        <v>3000</v>
      </c>
      <c r="AA42" s="5">
        <f t="shared" si="13"/>
        <v>3000</v>
      </c>
      <c r="AB42" s="10"/>
    </row>
    <row r="43" spans="1:28">
      <c r="A43" s="3" t="s">
        <v>45</v>
      </c>
      <c r="B43" s="5">
        <v>-100</v>
      </c>
      <c r="C43" s="9">
        <v>6.0596707044395424E-2</v>
      </c>
      <c r="D43" s="5">
        <v>-100</v>
      </c>
      <c r="E43" s="9">
        <v>0</v>
      </c>
      <c r="F43" s="5">
        <v>-100</v>
      </c>
      <c r="G43" s="9">
        <v>0.7957599620564787</v>
      </c>
      <c r="H43" s="5">
        <v>-100</v>
      </c>
      <c r="I43" s="9">
        <v>0</v>
      </c>
      <c r="J43" s="5">
        <v>-100</v>
      </c>
      <c r="K43" s="9">
        <v>0</v>
      </c>
      <c r="L43" s="5">
        <v>-100</v>
      </c>
      <c r="M43" s="9">
        <v>0</v>
      </c>
      <c r="N43" s="5">
        <v>-100</v>
      </c>
      <c r="O43" s="9">
        <v>0</v>
      </c>
      <c r="P43" s="5">
        <v>-100</v>
      </c>
      <c r="Q43" s="9">
        <v>0</v>
      </c>
      <c r="R43" s="5">
        <v>-100</v>
      </c>
      <c r="S43" s="9">
        <v>0</v>
      </c>
      <c r="T43" s="5">
        <v>-100</v>
      </c>
      <c r="U43" s="9">
        <v>0</v>
      </c>
      <c r="V43" s="5">
        <v>-100</v>
      </c>
      <c r="W43" s="9">
        <v>0</v>
      </c>
      <c r="X43" s="5">
        <v>-100</v>
      </c>
      <c r="Y43" s="9">
        <v>0.14364333089912595</v>
      </c>
      <c r="Z43" s="5">
        <v>-1200</v>
      </c>
      <c r="AA43" s="5">
        <f t="shared" si="13"/>
        <v>-1200</v>
      </c>
      <c r="AB43" s="10"/>
    </row>
    <row r="44" spans="1:28">
      <c r="A44" s="3" t="s">
        <v>46</v>
      </c>
      <c r="B44" s="6">
        <f>SUM(B42:B43)</f>
        <v>150</v>
      </c>
      <c r="C44" s="6">
        <f t="shared" ref="C44:X44" si="22">SUM(C42:C43)</f>
        <v>6.0596707044395424E-2</v>
      </c>
      <c r="D44" s="6">
        <f t="shared" si="22"/>
        <v>150</v>
      </c>
      <c r="E44" s="6">
        <f t="shared" si="22"/>
        <v>0</v>
      </c>
      <c r="F44" s="6">
        <f t="shared" si="22"/>
        <v>150</v>
      </c>
      <c r="G44" s="6">
        <f t="shared" si="22"/>
        <v>1.122201746604901</v>
      </c>
      <c r="H44" s="6">
        <f t="shared" si="22"/>
        <v>150</v>
      </c>
      <c r="I44" s="6">
        <f t="shared" si="22"/>
        <v>0.12948857453754081</v>
      </c>
      <c r="J44" s="6">
        <f t="shared" si="22"/>
        <v>150</v>
      </c>
      <c r="K44" s="6">
        <f t="shared" si="22"/>
        <v>0.18135654697134568</v>
      </c>
      <c r="L44" s="6">
        <f t="shared" si="22"/>
        <v>150</v>
      </c>
      <c r="M44" s="6">
        <f t="shared" si="22"/>
        <v>9.0678273485672839E-2</v>
      </c>
      <c r="N44" s="6">
        <f t="shared" si="22"/>
        <v>150</v>
      </c>
      <c r="O44" s="6">
        <f t="shared" si="22"/>
        <v>9.0678273485672839E-2</v>
      </c>
      <c r="P44" s="6">
        <f t="shared" si="22"/>
        <v>150</v>
      </c>
      <c r="Q44" s="6">
        <f t="shared" si="22"/>
        <v>0.18135654697134568</v>
      </c>
      <c r="R44" s="6">
        <f t="shared" si="22"/>
        <v>150</v>
      </c>
      <c r="S44" s="6">
        <f t="shared" si="22"/>
        <v>0</v>
      </c>
      <c r="T44" s="6">
        <f t="shared" si="22"/>
        <v>150</v>
      </c>
      <c r="U44" s="6">
        <f t="shared" si="22"/>
        <v>0</v>
      </c>
      <c r="V44" s="6">
        <f t="shared" si="22"/>
        <v>150</v>
      </c>
      <c r="W44" s="6">
        <f t="shared" si="22"/>
        <v>0</v>
      </c>
      <c r="X44" s="6">
        <f t="shared" si="22"/>
        <v>150</v>
      </c>
      <c r="Y44" s="9">
        <v>-0.13354704593654415</v>
      </c>
      <c r="Z44" s="6">
        <f>SUM(Z42:Z43)</f>
        <v>1800</v>
      </c>
      <c r="AA44" s="6">
        <f t="shared" si="13"/>
        <v>1800</v>
      </c>
      <c r="AB44" s="10"/>
    </row>
    <row r="45" spans="1:28">
      <c r="A45" s="3" t="s">
        <v>47</v>
      </c>
      <c r="B45" s="5"/>
      <c r="C45" s="9"/>
      <c r="D45" s="5"/>
      <c r="E45" s="9" t="e">
        <v>#DIV/0!</v>
      </c>
      <c r="F45" s="5"/>
      <c r="G45" s="9"/>
      <c r="H45" s="5"/>
      <c r="I45" s="9"/>
      <c r="J45" s="5"/>
      <c r="K45" s="9"/>
      <c r="L45" s="5"/>
      <c r="M45" s="9"/>
      <c r="N45" s="5"/>
      <c r="O45" s="9"/>
      <c r="P45" s="5"/>
      <c r="Q45" s="9"/>
      <c r="R45" s="5"/>
      <c r="S45" s="9"/>
      <c r="T45" s="5"/>
      <c r="U45" s="9"/>
      <c r="V45" s="5"/>
      <c r="W45" s="9"/>
      <c r="X45" s="5"/>
      <c r="Y45" s="9"/>
      <c r="Z45" s="5"/>
      <c r="AA45" s="5"/>
      <c r="AB45" s="10"/>
    </row>
    <row r="46" spans="1:28">
      <c r="A46" s="3" t="s">
        <v>48</v>
      </c>
      <c r="B46" s="5">
        <f>Z46/12</f>
        <v>-16.666666666666668</v>
      </c>
      <c r="C46" s="9">
        <v>0</v>
      </c>
      <c r="D46" s="5">
        <v>-16.670000000000002</v>
      </c>
      <c r="E46" s="9">
        <v>0</v>
      </c>
      <c r="F46" s="5">
        <v>-16.670000000000002</v>
      </c>
      <c r="G46" s="9">
        <v>0</v>
      </c>
      <c r="H46" s="5">
        <v>-16.670000000000002</v>
      </c>
      <c r="I46" s="9">
        <v>0</v>
      </c>
      <c r="J46" s="5">
        <v>-16.670000000000002</v>
      </c>
      <c r="K46" s="9">
        <v>0.32216281761560933</v>
      </c>
      <c r="L46" s="5">
        <v>-16.670000000000002</v>
      </c>
      <c r="M46" s="9">
        <v>0</v>
      </c>
      <c r="N46" s="5">
        <v>-16.670000000000002</v>
      </c>
      <c r="O46" s="9">
        <v>0.27558838119384887</v>
      </c>
      <c r="P46" s="5">
        <v>-16.670000000000002</v>
      </c>
      <c r="Q46" s="9">
        <v>0.12666041999669295</v>
      </c>
      <c r="R46" s="5">
        <v>-16.670000000000002</v>
      </c>
      <c r="S46" s="9">
        <v>0</v>
      </c>
      <c r="T46" s="5">
        <v>-16.670000000000002</v>
      </c>
      <c r="U46" s="9">
        <v>0.27558838119384887</v>
      </c>
      <c r="V46" s="5">
        <v>-16.670000000000002</v>
      </c>
      <c r="W46" s="9">
        <v>0</v>
      </c>
      <c r="X46" s="5">
        <v>-16.63</v>
      </c>
      <c r="Y46" s="9">
        <v>0</v>
      </c>
      <c r="Z46" s="5">
        <v>-200</v>
      </c>
      <c r="AA46" s="5">
        <f t="shared" si="13"/>
        <v>-199.99666666666673</v>
      </c>
      <c r="AB46" s="10"/>
    </row>
    <row r="47" spans="1:28">
      <c r="A47" s="3" t="s">
        <v>49</v>
      </c>
      <c r="B47" s="6">
        <f>SUM(B46)</f>
        <v>-16.666666666666668</v>
      </c>
      <c r="C47" s="6">
        <f t="shared" ref="C47:Y47" si="23">SUM(C46)</f>
        <v>0</v>
      </c>
      <c r="D47" s="6">
        <f t="shared" si="23"/>
        <v>-16.670000000000002</v>
      </c>
      <c r="E47" s="6">
        <f t="shared" si="23"/>
        <v>0</v>
      </c>
      <c r="F47" s="6">
        <f t="shared" si="23"/>
        <v>-16.670000000000002</v>
      </c>
      <c r="G47" s="6">
        <f t="shared" si="23"/>
        <v>0</v>
      </c>
      <c r="H47" s="6">
        <f t="shared" si="23"/>
        <v>-16.670000000000002</v>
      </c>
      <c r="I47" s="6">
        <f t="shared" si="23"/>
        <v>0</v>
      </c>
      <c r="J47" s="6">
        <f t="shared" si="23"/>
        <v>-16.670000000000002</v>
      </c>
      <c r="K47" s="6">
        <f t="shared" si="23"/>
        <v>0.32216281761560933</v>
      </c>
      <c r="L47" s="6">
        <f t="shared" si="23"/>
        <v>-16.670000000000002</v>
      </c>
      <c r="M47" s="6">
        <f t="shared" si="23"/>
        <v>0</v>
      </c>
      <c r="N47" s="6">
        <f t="shared" si="23"/>
        <v>-16.670000000000002</v>
      </c>
      <c r="O47" s="6">
        <f t="shared" si="23"/>
        <v>0.27558838119384887</v>
      </c>
      <c r="P47" s="6">
        <f t="shared" si="23"/>
        <v>-16.670000000000002</v>
      </c>
      <c r="Q47" s="6">
        <f t="shared" si="23"/>
        <v>0.12666041999669295</v>
      </c>
      <c r="R47" s="6">
        <f t="shared" si="23"/>
        <v>-16.670000000000002</v>
      </c>
      <c r="S47" s="6">
        <f t="shared" si="23"/>
        <v>0</v>
      </c>
      <c r="T47" s="6">
        <f t="shared" si="23"/>
        <v>-16.670000000000002</v>
      </c>
      <c r="U47" s="6">
        <f t="shared" si="23"/>
        <v>0.27558838119384887</v>
      </c>
      <c r="V47" s="6">
        <f t="shared" si="23"/>
        <v>-16.670000000000002</v>
      </c>
      <c r="W47" s="6">
        <f t="shared" si="23"/>
        <v>0</v>
      </c>
      <c r="X47" s="6">
        <f t="shared" si="23"/>
        <v>-16.63</v>
      </c>
      <c r="Y47" s="6">
        <f t="shared" si="23"/>
        <v>0</v>
      </c>
      <c r="Z47" s="6">
        <f>SUM(Z46)</f>
        <v>-200</v>
      </c>
      <c r="AA47" s="6">
        <f t="shared" si="13"/>
        <v>-199.99666666666673</v>
      </c>
      <c r="AB47" s="10"/>
    </row>
    <row r="48" spans="1:28">
      <c r="A48" s="3" t="s">
        <v>50</v>
      </c>
      <c r="B48" s="6">
        <f>B18+B23+B31+B36+B40+B44+B47</f>
        <v>3097.4051896207588</v>
      </c>
      <c r="C48" s="6">
        <f t="shared" ref="C48:X48" si="24">C18+C23+C31+C36+C40+C44+C47</f>
        <v>1.7656037510159159</v>
      </c>
      <c r="D48" s="6">
        <f t="shared" si="24"/>
        <v>1671.8166267084478</v>
      </c>
      <c r="E48" s="6">
        <f t="shared" si="24"/>
        <v>1.6118155725722934</v>
      </c>
      <c r="F48" s="6">
        <f t="shared" si="24"/>
        <v>4257.8954316770232</v>
      </c>
      <c r="G48" s="6">
        <f t="shared" si="24"/>
        <v>2.2240529354601311</v>
      </c>
      <c r="H48" s="6">
        <f t="shared" si="24"/>
        <v>-4823.4841256686705</v>
      </c>
      <c r="I48" s="6">
        <f t="shared" si="24"/>
        <v>1.8487408753478607</v>
      </c>
      <c r="J48" s="6">
        <f t="shared" si="24"/>
        <v>12367.037733370416</v>
      </c>
      <c r="K48" s="6">
        <f t="shared" si="24"/>
        <v>1.2592268622243155</v>
      </c>
      <c r="L48" s="6">
        <f t="shared" si="24"/>
        <v>2952.8382594136579</v>
      </c>
      <c r="M48" s="6">
        <f t="shared" si="24"/>
        <v>0.39663252598086907</v>
      </c>
      <c r="N48" s="6">
        <f t="shared" si="24"/>
        <v>7159.9050109664468</v>
      </c>
      <c r="O48" s="6">
        <f t="shared" si="24"/>
        <v>0.87940879411901995</v>
      </c>
      <c r="P48" s="6">
        <f t="shared" si="24"/>
        <v>6339.5202410087713</v>
      </c>
      <c r="Q48" s="6">
        <f t="shared" si="24"/>
        <v>1.1507096701824795</v>
      </c>
      <c r="R48" s="6">
        <f t="shared" si="24"/>
        <v>3460.8455696133301</v>
      </c>
      <c r="S48" s="6">
        <f t="shared" si="24"/>
        <v>1.5869615643993968</v>
      </c>
      <c r="T48" s="6">
        <f t="shared" si="24"/>
        <v>-4138.9750971561798</v>
      </c>
      <c r="U48" s="6">
        <f t="shared" si="24"/>
        <v>2.25316105201418</v>
      </c>
      <c r="V48" s="6">
        <f t="shared" si="24"/>
        <v>9706.6550761170383</v>
      </c>
      <c r="W48" s="6">
        <f t="shared" si="24"/>
        <v>0.83145534487010508</v>
      </c>
      <c r="X48" s="6">
        <f t="shared" si="24"/>
        <v>-15408.226582337707</v>
      </c>
      <c r="Y48" s="9">
        <v>-0.60032394875279016</v>
      </c>
      <c r="Z48" s="6">
        <f>Z18+Z23+Z31+Z36+Z40+Z44+Z47</f>
        <v>26643.23</v>
      </c>
      <c r="AA48" s="6">
        <f t="shared" si="13"/>
        <v>26643.23333333333</v>
      </c>
      <c r="AB48" s="10"/>
    </row>
    <row r="49" spans="1:28">
      <c r="A49" s="3" t="s">
        <v>51</v>
      </c>
      <c r="B49" s="5"/>
      <c r="C49" s="9"/>
      <c r="D49" s="5"/>
      <c r="E49" s="9"/>
      <c r="F49" s="5"/>
      <c r="G49" s="9"/>
      <c r="H49" s="5"/>
      <c r="I49" s="9"/>
      <c r="J49" s="5"/>
      <c r="K49" s="9"/>
      <c r="L49" s="5"/>
      <c r="M49" s="9"/>
      <c r="N49" s="5"/>
      <c r="O49" s="9"/>
      <c r="P49" s="5"/>
      <c r="Q49" s="9"/>
      <c r="R49" s="5"/>
      <c r="S49" s="9"/>
      <c r="T49" s="5"/>
      <c r="U49" s="9"/>
      <c r="V49" s="5"/>
      <c r="W49" s="9"/>
      <c r="X49" s="5"/>
      <c r="Y49" s="9"/>
      <c r="Z49" s="5"/>
      <c r="AA49" s="5"/>
      <c r="AB49" s="10"/>
    </row>
    <row r="50" spans="1:28">
      <c r="A50" s="3" t="s">
        <v>52</v>
      </c>
      <c r="B50" s="5">
        <v>15000</v>
      </c>
      <c r="C50" s="9">
        <v>0.19330530224430731</v>
      </c>
      <c r="D50" s="5">
        <v>20000</v>
      </c>
      <c r="E50" s="9">
        <v>8.5048872385736912E-2</v>
      </c>
      <c r="F50" s="5">
        <v>17500</v>
      </c>
      <c r="G50" s="9"/>
      <c r="H50" s="5">
        <v>5000</v>
      </c>
      <c r="I50" s="9"/>
      <c r="J50" s="5">
        <v>0</v>
      </c>
      <c r="K50" s="9"/>
      <c r="L50" s="5">
        <v>0</v>
      </c>
      <c r="M50" s="9"/>
      <c r="N50" s="5">
        <v>0</v>
      </c>
      <c r="O50" s="9"/>
      <c r="P50" s="5">
        <v>0</v>
      </c>
      <c r="Q50" s="9">
        <v>0.21927046360508928</v>
      </c>
      <c r="R50" s="5">
        <f t="shared" si="9"/>
        <v>0</v>
      </c>
      <c r="S50" s="9">
        <v>0</v>
      </c>
      <c r="T50" s="5">
        <f t="shared" si="10"/>
        <v>0</v>
      </c>
      <c r="U50" s="9">
        <v>0</v>
      </c>
      <c r="V50" s="5">
        <f t="shared" si="11"/>
        <v>0</v>
      </c>
      <c r="W50" s="9">
        <v>0</v>
      </c>
      <c r="X50" s="5">
        <f t="shared" si="12"/>
        <v>0</v>
      </c>
      <c r="Y50" s="9">
        <v>0</v>
      </c>
      <c r="Z50" s="5">
        <v>57500</v>
      </c>
      <c r="AA50" s="5">
        <f t="shared" si="13"/>
        <v>57500</v>
      </c>
      <c r="AB50" s="10"/>
    </row>
    <row r="51" spans="1:28">
      <c r="A51" s="3" t="s">
        <v>53</v>
      </c>
      <c r="B51" s="5">
        <f t="shared" si="1"/>
        <v>0</v>
      </c>
      <c r="C51" s="9">
        <v>0</v>
      </c>
      <c r="D51" s="5">
        <f t="shared" si="2"/>
        <v>0</v>
      </c>
      <c r="E51" s="9">
        <v>0</v>
      </c>
      <c r="F51" s="5">
        <f t="shared" si="3"/>
        <v>0</v>
      </c>
      <c r="G51" s="9">
        <v>1</v>
      </c>
      <c r="H51" s="5">
        <f t="shared" si="4"/>
        <v>0</v>
      </c>
      <c r="I51" s="9">
        <v>0</v>
      </c>
      <c r="J51" s="5">
        <f t="shared" si="5"/>
        <v>0</v>
      </c>
      <c r="K51" s="9">
        <v>0</v>
      </c>
      <c r="L51" s="5">
        <f t="shared" si="6"/>
        <v>0</v>
      </c>
      <c r="M51" s="9">
        <v>0</v>
      </c>
      <c r="N51" s="5">
        <f t="shared" si="7"/>
        <v>0</v>
      </c>
      <c r="O51" s="9">
        <v>0</v>
      </c>
      <c r="P51" s="5">
        <f t="shared" si="8"/>
        <v>0</v>
      </c>
      <c r="Q51" s="9">
        <v>0</v>
      </c>
      <c r="R51" s="5">
        <f t="shared" si="9"/>
        <v>0</v>
      </c>
      <c r="S51" s="9">
        <v>0</v>
      </c>
      <c r="T51" s="5">
        <f t="shared" si="10"/>
        <v>0</v>
      </c>
      <c r="U51" s="9">
        <v>0</v>
      </c>
      <c r="V51" s="5">
        <f t="shared" si="11"/>
        <v>0</v>
      </c>
      <c r="W51" s="9">
        <v>0</v>
      </c>
      <c r="X51" s="5">
        <f t="shared" si="12"/>
        <v>0</v>
      </c>
      <c r="Y51" s="9">
        <v>0</v>
      </c>
      <c r="Z51" s="5"/>
      <c r="AA51" s="5">
        <f t="shared" si="13"/>
        <v>0</v>
      </c>
      <c r="AB51" s="10"/>
    </row>
    <row r="52" spans="1:28">
      <c r="A52" s="3" t="s">
        <v>54</v>
      </c>
      <c r="B52" s="6">
        <f>SUM(B50:B51)</f>
        <v>15000</v>
      </c>
      <c r="C52" s="6">
        <f t="shared" ref="C52:X52" si="25">SUM(C50:C51)</f>
        <v>0.19330530224430731</v>
      </c>
      <c r="D52" s="6">
        <f t="shared" si="25"/>
        <v>20000</v>
      </c>
      <c r="E52" s="6">
        <f t="shared" si="25"/>
        <v>8.5048872385736912E-2</v>
      </c>
      <c r="F52" s="6">
        <f t="shared" si="25"/>
        <v>17500</v>
      </c>
      <c r="G52" s="6">
        <f t="shared" si="25"/>
        <v>1</v>
      </c>
      <c r="H52" s="6">
        <f t="shared" si="25"/>
        <v>5000</v>
      </c>
      <c r="I52" s="6">
        <f t="shared" si="25"/>
        <v>0</v>
      </c>
      <c r="J52" s="6">
        <f t="shared" si="25"/>
        <v>0</v>
      </c>
      <c r="K52" s="6">
        <f t="shared" si="25"/>
        <v>0</v>
      </c>
      <c r="L52" s="6">
        <f t="shared" si="25"/>
        <v>0</v>
      </c>
      <c r="M52" s="6">
        <f t="shared" si="25"/>
        <v>0</v>
      </c>
      <c r="N52" s="6">
        <f t="shared" si="25"/>
        <v>0</v>
      </c>
      <c r="O52" s="6">
        <f t="shared" si="25"/>
        <v>0</v>
      </c>
      <c r="P52" s="6">
        <f t="shared" si="25"/>
        <v>0</v>
      </c>
      <c r="Q52" s="6">
        <f t="shared" si="25"/>
        <v>0.21927046360508928</v>
      </c>
      <c r="R52" s="6">
        <f t="shared" si="25"/>
        <v>0</v>
      </c>
      <c r="S52" s="6">
        <f t="shared" si="25"/>
        <v>0</v>
      </c>
      <c r="T52" s="6">
        <f t="shared" si="25"/>
        <v>0</v>
      </c>
      <c r="U52" s="6">
        <f t="shared" si="25"/>
        <v>0</v>
      </c>
      <c r="V52" s="6">
        <f t="shared" si="25"/>
        <v>0</v>
      </c>
      <c r="W52" s="6">
        <f t="shared" si="25"/>
        <v>0</v>
      </c>
      <c r="X52" s="6">
        <f t="shared" si="25"/>
        <v>0</v>
      </c>
      <c r="Y52" s="9">
        <v>0</v>
      </c>
      <c r="Z52" s="6">
        <f>SUM(Z50:Z51)</f>
        <v>57500</v>
      </c>
      <c r="AA52" s="6">
        <f t="shared" si="13"/>
        <v>57500</v>
      </c>
      <c r="AB52" s="10"/>
    </row>
    <row r="53" spans="1:28">
      <c r="A53" s="3" t="s">
        <v>132</v>
      </c>
      <c r="B53" s="5">
        <f t="shared" si="1"/>
        <v>0</v>
      </c>
      <c r="C53" s="9">
        <v>0</v>
      </c>
      <c r="D53" s="5">
        <v>100</v>
      </c>
      <c r="E53" s="9">
        <v>0.16216216216216217</v>
      </c>
      <c r="F53" s="5">
        <v>100</v>
      </c>
      <c r="G53" s="9">
        <v>0</v>
      </c>
      <c r="H53" s="5">
        <v>100</v>
      </c>
      <c r="I53" s="9">
        <v>0.67567567567567566</v>
      </c>
      <c r="J53" s="5">
        <v>100</v>
      </c>
      <c r="K53" s="9">
        <v>0</v>
      </c>
      <c r="L53" s="5">
        <v>100</v>
      </c>
      <c r="M53" s="9">
        <v>0.16216216216216217</v>
      </c>
      <c r="N53" s="5">
        <v>100</v>
      </c>
      <c r="O53" s="9">
        <v>0</v>
      </c>
      <c r="P53" s="5">
        <v>100</v>
      </c>
      <c r="Q53" s="9">
        <v>0</v>
      </c>
      <c r="R53" s="5">
        <v>100</v>
      </c>
      <c r="S53" s="9">
        <v>0</v>
      </c>
      <c r="T53" s="5">
        <v>100</v>
      </c>
      <c r="U53" s="9">
        <v>0</v>
      </c>
      <c r="V53" s="5">
        <v>100</v>
      </c>
      <c r="W53" s="9">
        <v>0</v>
      </c>
      <c r="X53" s="5">
        <f t="shared" si="12"/>
        <v>0</v>
      </c>
      <c r="Y53" s="9">
        <v>0</v>
      </c>
      <c r="Z53" s="5">
        <v>1000</v>
      </c>
      <c r="AA53" s="5">
        <f t="shared" si="13"/>
        <v>1000</v>
      </c>
      <c r="AB53" s="10"/>
    </row>
    <row r="54" spans="1:28">
      <c r="A54" s="3" t="s">
        <v>56</v>
      </c>
      <c r="B54" s="5">
        <f t="shared" si="1"/>
        <v>776.46</v>
      </c>
      <c r="C54" s="9">
        <v>8.3333333333333329E-2</v>
      </c>
      <c r="D54" s="5">
        <f t="shared" si="2"/>
        <v>776.46</v>
      </c>
      <c r="E54" s="9">
        <v>8.3333333333333329E-2</v>
      </c>
      <c r="F54" s="5">
        <f t="shared" si="3"/>
        <v>776.46</v>
      </c>
      <c r="G54" s="9">
        <v>8.3333333333333329E-2</v>
      </c>
      <c r="H54" s="5">
        <f t="shared" si="4"/>
        <v>776.46</v>
      </c>
      <c r="I54" s="9">
        <v>8.3333333333333329E-2</v>
      </c>
      <c r="J54" s="5">
        <f t="shared" si="5"/>
        <v>776.46</v>
      </c>
      <c r="K54" s="9">
        <v>8.3333333333333329E-2</v>
      </c>
      <c r="L54" s="5">
        <f t="shared" si="6"/>
        <v>776.46</v>
      </c>
      <c r="M54" s="9">
        <v>8.3333333333333329E-2</v>
      </c>
      <c r="N54" s="5">
        <f t="shared" si="7"/>
        <v>776.46</v>
      </c>
      <c r="O54" s="9">
        <v>8.3333333333333329E-2</v>
      </c>
      <c r="P54" s="5">
        <f t="shared" si="8"/>
        <v>776.46</v>
      </c>
      <c r="Q54" s="9">
        <v>8.3333333333333329E-2</v>
      </c>
      <c r="R54" s="5">
        <f t="shared" si="9"/>
        <v>776.46</v>
      </c>
      <c r="S54" s="9">
        <v>8.3333333333333329E-2</v>
      </c>
      <c r="T54" s="5">
        <f t="shared" si="10"/>
        <v>776.46</v>
      </c>
      <c r="U54" s="9">
        <v>8.3333333333333329E-2</v>
      </c>
      <c r="V54" s="5">
        <f t="shared" si="11"/>
        <v>776.46</v>
      </c>
      <c r="W54" s="9">
        <v>8.3333333333333329E-2</v>
      </c>
      <c r="X54" s="5">
        <f t="shared" si="12"/>
        <v>776.46</v>
      </c>
      <c r="Y54" s="9">
        <v>8.3333333333333329E-2</v>
      </c>
      <c r="Z54" s="5">
        <v>9317.52</v>
      </c>
      <c r="AA54" s="5">
        <f t="shared" si="13"/>
        <v>9317.52</v>
      </c>
      <c r="AB54" s="10"/>
    </row>
    <row r="55" spans="1:28">
      <c r="A55" s="3" t="s">
        <v>57</v>
      </c>
      <c r="B55" s="6">
        <f>SUM(B52:B54)</f>
        <v>15776.46</v>
      </c>
      <c r="C55" s="6">
        <f t="shared" ref="C55:X55" si="26">SUM(C52:C54)</f>
        <v>0.27663863557764062</v>
      </c>
      <c r="D55" s="6">
        <f t="shared" si="26"/>
        <v>20876.46</v>
      </c>
      <c r="E55" s="6">
        <f t="shared" si="26"/>
        <v>0.33054436788123243</v>
      </c>
      <c r="F55" s="6">
        <f t="shared" si="26"/>
        <v>18376.46</v>
      </c>
      <c r="G55" s="6">
        <f t="shared" si="26"/>
        <v>1.0833333333333333</v>
      </c>
      <c r="H55" s="6">
        <f t="shared" si="26"/>
        <v>5876.46</v>
      </c>
      <c r="I55" s="6">
        <f t="shared" si="26"/>
        <v>0.75900900900900903</v>
      </c>
      <c r="J55" s="6">
        <f t="shared" si="26"/>
        <v>876.46</v>
      </c>
      <c r="K55" s="6">
        <f t="shared" si="26"/>
        <v>8.3333333333333329E-2</v>
      </c>
      <c r="L55" s="6">
        <f t="shared" si="26"/>
        <v>876.46</v>
      </c>
      <c r="M55" s="6">
        <f t="shared" si="26"/>
        <v>0.24549549549549549</v>
      </c>
      <c r="N55" s="6">
        <f t="shared" si="26"/>
        <v>876.46</v>
      </c>
      <c r="O55" s="6">
        <f t="shared" si="26"/>
        <v>8.3333333333333329E-2</v>
      </c>
      <c r="P55" s="6">
        <f t="shared" si="26"/>
        <v>876.46</v>
      </c>
      <c r="Q55" s="6">
        <f t="shared" si="26"/>
        <v>0.3026037969384226</v>
      </c>
      <c r="R55" s="6">
        <f t="shared" si="26"/>
        <v>876.46</v>
      </c>
      <c r="S55" s="6">
        <f t="shared" si="26"/>
        <v>8.3333333333333329E-2</v>
      </c>
      <c r="T55" s="6">
        <f t="shared" si="26"/>
        <v>876.46</v>
      </c>
      <c r="U55" s="6">
        <f t="shared" si="26"/>
        <v>8.3333333333333329E-2</v>
      </c>
      <c r="V55" s="6">
        <f t="shared" si="26"/>
        <v>876.46</v>
      </c>
      <c r="W55" s="6">
        <f t="shared" si="26"/>
        <v>8.3333333333333329E-2</v>
      </c>
      <c r="X55" s="6">
        <f t="shared" si="26"/>
        <v>776.46</v>
      </c>
      <c r="Y55" s="9">
        <v>2.8229242712008357E-2</v>
      </c>
      <c r="Z55" s="6">
        <f>SUM(Z52:Z54)</f>
        <v>67817.52</v>
      </c>
      <c r="AA55" s="6">
        <f t="shared" si="13"/>
        <v>67817.52</v>
      </c>
      <c r="AB55" s="10"/>
    </row>
    <row r="56" spans="1:28">
      <c r="A56" s="3" t="s">
        <v>58</v>
      </c>
      <c r="B56" s="5"/>
      <c r="C56" s="9"/>
      <c r="D56" s="5"/>
      <c r="E56" s="9"/>
      <c r="F56" s="5"/>
      <c r="G56" s="9"/>
      <c r="H56" s="5"/>
      <c r="I56" s="9"/>
      <c r="J56" s="5"/>
      <c r="K56" s="9"/>
      <c r="L56" s="5"/>
      <c r="M56" s="9"/>
      <c r="N56" s="5"/>
      <c r="O56" s="9"/>
      <c r="P56" s="5"/>
      <c r="Q56" s="9"/>
      <c r="R56" s="5"/>
      <c r="S56" s="9"/>
      <c r="T56" s="5"/>
      <c r="U56" s="9"/>
      <c r="V56" s="5"/>
      <c r="W56" s="9"/>
      <c r="X56" s="5"/>
      <c r="Y56" s="9"/>
      <c r="Z56" s="5"/>
      <c r="AA56" s="5"/>
      <c r="AB56" s="10"/>
    </row>
    <row r="57" spans="1:28">
      <c r="A57" s="3" t="s">
        <v>133</v>
      </c>
      <c r="B57" s="5">
        <v>7500</v>
      </c>
      <c r="C57" s="9"/>
      <c r="D57" s="5">
        <f t="shared" si="2"/>
        <v>0</v>
      </c>
      <c r="E57" s="9"/>
      <c r="F57" s="5">
        <f t="shared" si="3"/>
        <v>0</v>
      </c>
      <c r="G57" s="9"/>
      <c r="H57" s="5">
        <f t="shared" si="4"/>
        <v>0</v>
      </c>
      <c r="I57" s="9"/>
      <c r="J57" s="5">
        <f t="shared" si="5"/>
        <v>0</v>
      </c>
      <c r="K57" s="9"/>
      <c r="L57" s="5">
        <f t="shared" si="6"/>
        <v>0</v>
      </c>
      <c r="M57" s="9"/>
      <c r="N57" s="5">
        <f t="shared" si="7"/>
        <v>0</v>
      </c>
      <c r="O57" s="9"/>
      <c r="P57" s="5">
        <f t="shared" si="8"/>
        <v>0</v>
      </c>
      <c r="Q57" s="9"/>
      <c r="R57" s="5">
        <f t="shared" si="9"/>
        <v>0</v>
      </c>
      <c r="S57" s="9"/>
      <c r="T57" s="5">
        <f t="shared" si="10"/>
        <v>0</v>
      </c>
      <c r="U57" s="9"/>
      <c r="V57" s="5">
        <f t="shared" si="11"/>
        <v>0</v>
      </c>
      <c r="W57" s="9"/>
      <c r="X57" s="5">
        <f t="shared" si="12"/>
        <v>0</v>
      </c>
      <c r="Y57" s="9"/>
      <c r="Z57" s="5">
        <v>7500</v>
      </c>
      <c r="AA57" s="5">
        <f t="shared" si="13"/>
        <v>7500</v>
      </c>
      <c r="AB57" s="10"/>
    </row>
    <row r="58" spans="1:28">
      <c r="A58" s="3" t="s">
        <v>59</v>
      </c>
      <c r="B58" s="5">
        <f t="shared" si="1"/>
        <v>0</v>
      </c>
      <c r="C58" s="9">
        <v>0</v>
      </c>
      <c r="D58" s="5">
        <f t="shared" si="2"/>
        <v>0</v>
      </c>
      <c r="E58" s="9">
        <v>0</v>
      </c>
      <c r="F58" s="5">
        <f t="shared" si="3"/>
        <v>0</v>
      </c>
      <c r="G58" s="9">
        <v>1</v>
      </c>
      <c r="H58" s="5">
        <f t="shared" si="4"/>
        <v>0</v>
      </c>
      <c r="I58" s="9">
        <v>0</v>
      </c>
      <c r="J58" s="5">
        <f t="shared" si="5"/>
        <v>0</v>
      </c>
      <c r="K58" s="9">
        <v>0</v>
      </c>
      <c r="L58" s="5">
        <f t="shared" si="6"/>
        <v>0</v>
      </c>
      <c r="M58" s="9">
        <v>0</v>
      </c>
      <c r="N58" s="5">
        <f t="shared" si="7"/>
        <v>0</v>
      </c>
      <c r="O58" s="9">
        <v>0</v>
      </c>
      <c r="P58" s="5">
        <f t="shared" si="8"/>
        <v>0</v>
      </c>
      <c r="Q58" s="9">
        <v>0</v>
      </c>
      <c r="R58" s="5">
        <f t="shared" si="9"/>
        <v>0</v>
      </c>
      <c r="S58" s="9">
        <v>0</v>
      </c>
      <c r="T58" s="5">
        <f t="shared" si="10"/>
        <v>0</v>
      </c>
      <c r="U58" s="9">
        <v>0</v>
      </c>
      <c r="V58" s="5">
        <f t="shared" si="11"/>
        <v>0</v>
      </c>
      <c r="W58" s="9">
        <v>0</v>
      </c>
      <c r="X58" s="5">
        <f t="shared" si="12"/>
        <v>0</v>
      </c>
      <c r="Y58" s="9">
        <v>0</v>
      </c>
      <c r="Z58" s="5">
        <v>0</v>
      </c>
      <c r="AA58" s="5">
        <f t="shared" si="13"/>
        <v>0</v>
      </c>
      <c r="AB58" s="10"/>
    </row>
    <row r="59" spans="1:28">
      <c r="A59" s="3" t="s">
        <v>60</v>
      </c>
      <c r="B59" s="6">
        <f>SUM(B57:B58)</f>
        <v>7500</v>
      </c>
      <c r="C59" s="6">
        <f t="shared" ref="C59:X59" si="27">SUM(C57:C58)</f>
        <v>0</v>
      </c>
      <c r="D59" s="6">
        <f t="shared" si="27"/>
        <v>0</v>
      </c>
      <c r="E59" s="6">
        <f t="shared" si="27"/>
        <v>0</v>
      </c>
      <c r="F59" s="6">
        <f t="shared" si="27"/>
        <v>0</v>
      </c>
      <c r="G59" s="6">
        <f t="shared" si="27"/>
        <v>1</v>
      </c>
      <c r="H59" s="6">
        <f t="shared" si="27"/>
        <v>0</v>
      </c>
      <c r="I59" s="6">
        <f t="shared" si="27"/>
        <v>0</v>
      </c>
      <c r="J59" s="6">
        <f t="shared" si="27"/>
        <v>0</v>
      </c>
      <c r="K59" s="6">
        <f t="shared" si="27"/>
        <v>0</v>
      </c>
      <c r="L59" s="6">
        <f t="shared" si="27"/>
        <v>0</v>
      </c>
      <c r="M59" s="6">
        <f t="shared" si="27"/>
        <v>0</v>
      </c>
      <c r="N59" s="6">
        <f t="shared" si="27"/>
        <v>0</v>
      </c>
      <c r="O59" s="6">
        <f t="shared" si="27"/>
        <v>0</v>
      </c>
      <c r="P59" s="6">
        <f t="shared" si="27"/>
        <v>0</v>
      </c>
      <c r="Q59" s="6">
        <f t="shared" si="27"/>
        <v>0</v>
      </c>
      <c r="R59" s="6">
        <f t="shared" si="27"/>
        <v>0</v>
      </c>
      <c r="S59" s="6">
        <f t="shared" si="27"/>
        <v>0</v>
      </c>
      <c r="T59" s="6">
        <f t="shared" si="27"/>
        <v>0</v>
      </c>
      <c r="U59" s="6">
        <f t="shared" si="27"/>
        <v>0</v>
      </c>
      <c r="V59" s="6">
        <f t="shared" si="27"/>
        <v>0</v>
      </c>
      <c r="W59" s="6">
        <f t="shared" si="27"/>
        <v>0</v>
      </c>
      <c r="X59" s="6">
        <f t="shared" si="27"/>
        <v>0</v>
      </c>
      <c r="Y59" s="9">
        <v>0</v>
      </c>
      <c r="Z59" s="6">
        <f>SUM(Z57:Z58)</f>
        <v>7500</v>
      </c>
      <c r="AA59" s="6">
        <f t="shared" si="13"/>
        <v>7500</v>
      </c>
      <c r="AB59" s="10"/>
    </row>
    <row r="60" spans="1:28">
      <c r="A60" s="3" t="s">
        <v>61</v>
      </c>
      <c r="B60" s="5"/>
      <c r="C60" s="9"/>
      <c r="D60" s="5"/>
      <c r="E60" s="9"/>
      <c r="F60" s="5"/>
      <c r="G60" s="9"/>
      <c r="H60" s="5"/>
      <c r="I60" s="9"/>
      <c r="J60" s="5"/>
      <c r="K60" s="9"/>
      <c r="L60" s="5"/>
      <c r="M60" s="9"/>
      <c r="N60" s="5"/>
      <c r="O60" s="9"/>
      <c r="P60" s="5"/>
      <c r="Q60" s="9"/>
      <c r="R60" s="5"/>
      <c r="S60" s="9"/>
      <c r="T60" s="5"/>
      <c r="U60" s="9"/>
      <c r="V60" s="5"/>
      <c r="W60" s="9"/>
      <c r="X60" s="5"/>
      <c r="Y60" s="9"/>
      <c r="Z60" s="5"/>
      <c r="AA60" s="5"/>
      <c r="AB60" s="10"/>
    </row>
    <row r="61" spans="1:28">
      <c r="A61" s="3" t="s">
        <v>62</v>
      </c>
      <c r="B61" s="5"/>
      <c r="C61" s="9"/>
      <c r="D61" s="5"/>
      <c r="E61" s="9"/>
      <c r="F61" s="5"/>
      <c r="G61" s="9"/>
      <c r="H61" s="5"/>
      <c r="I61" s="9"/>
      <c r="J61" s="5"/>
      <c r="K61" s="9"/>
      <c r="L61" s="5"/>
      <c r="M61" s="9"/>
      <c r="N61" s="5"/>
      <c r="O61" s="9"/>
      <c r="P61" s="5"/>
      <c r="Q61" s="9"/>
      <c r="R61" s="5"/>
      <c r="S61" s="9"/>
      <c r="T61" s="5"/>
      <c r="U61" s="9"/>
      <c r="V61" s="5"/>
      <c r="W61" s="9"/>
      <c r="X61" s="5"/>
      <c r="Y61" s="9"/>
      <c r="Z61" s="5"/>
      <c r="AA61" s="5"/>
      <c r="AB61" s="10"/>
    </row>
    <row r="62" spans="1:28">
      <c r="A62" s="3" t="s">
        <v>63</v>
      </c>
      <c r="B62" s="5">
        <f t="shared" si="1"/>
        <v>0</v>
      </c>
      <c r="C62" s="9">
        <v>0</v>
      </c>
      <c r="D62" s="5">
        <f t="shared" si="2"/>
        <v>0</v>
      </c>
      <c r="E62" s="9">
        <v>0</v>
      </c>
      <c r="F62" s="5">
        <v>300</v>
      </c>
      <c r="G62" s="9">
        <v>9.5238095238095233E-2</v>
      </c>
      <c r="H62" s="5">
        <v>1050</v>
      </c>
      <c r="I62" s="9">
        <v>0.76190476190476186</v>
      </c>
      <c r="J62" s="5">
        <v>600</v>
      </c>
      <c r="K62" s="9">
        <v>9.5238095238095233E-2</v>
      </c>
      <c r="L62" s="5">
        <v>0</v>
      </c>
      <c r="M62" s="9">
        <v>4.7619047619047616E-2</v>
      </c>
      <c r="N62" s="5">
        <f t="shared" si="7"/>
        <v>0</v>
      </c>
      <c r="O62" s="9">
        <v>0</v>
      </c>
      <c r="P62" s="5">
        <f t="shared" si="8"/>
        <v>0</v>
      </c>
      <c r="Q62" s="9">
        <v>0</v>
      </c>
      <c r="R62" s="5">
        <f t="shared" si="9"/>
        <v>0</v>
      </c>
      <c r="S62" s="9">
        <v>0</v>
      </c>
      <c r="T62" s="5">
        <f t="shared" si="10"/>
        <v>0</v>
      </c>
      <c r="U62" s="9">
        <v>0</v>
      </c>
      <c r="V62" s="5">
        <f t="shared" si="11"/>
        <v>0</v>
      </c>
      <c r="W62" s="9">
        <v>0</v>
      </c>
      <c r="X62" s="5">
        <f t="shared" si="12"/>
        <v>0</v>
      </c>
      <c r="Y62" s="9">
        <v>0</v>
      </c>
      <c r="Z62" s="5">
        <v>1950</v>
      </c>
      <c r="AA62" s="5">
        <f t="shared" si="13"/>
        <v>1950</v>
      </c>
      <c r="AB62" s="10"/>
    </row>
    <row r="63" spans="1:28">
      <c r="A63" s="3" t="s">
        <v>64</v>
      </c>
      <c r="B63" s="5">
        <f t="shared" si="1"/>
        <v>307.69230769230774</v>
      </c>
      <c r="C63" s="9">
        <v>0.30769230769230771</v>
      </c>
      <c r="D63" s="5">
        <f t="shared" si="2"/>
        <v>0</v>
      </c>
      <c r="E63" s="9">
        <v>0</v>
      </c>
      <c r="F63" s="5">
        <f t="shared" si="3"/>
        <v>0</v>
      </c>
      <c r="G63" s="9">
        <v>0</v>
      </c>
      <c r="H63" s="5">
        <f t="shared" si="4"/>
        <v>230.76923076923077</v>
      </c>
      <c r="I63" s="9">
        <v>0.23076923076923078</v>
      </c>
      <c r="J63" s="5">
        <f t="shared" si="5"/>
        <v>307.69230769230774</v>
      </c>
      <c r="K63" s="9">
        <v>0.30769230769230771</v>
      </c>
      <c r="L63" s="5">
        <f t="shared" si="6"/>
        <v>153.84615384615387</v>
      </c>
      <c r="M63" s="9">
        <v>0.15384615384615385</v>
      </c>
      <c r="N63" s="5">
        <f t="shared" si="7"/>
        <v>0</v>
      </c>
      <c r="O63" s="9">
        <v>0</v>
      </c>
      <c r="P63" s="5">
        <f t="shared" si="8"/>
        <v>0</v>
      </c>
      <c r="Q63" s="9">
        <v>0</v>
      </c>
      <c r="R63" s="5">
        <f t="shared" si="9"/>
        <v>0</v>
      </c>
      <c r="S63" s="9">
        <v>0</v>
      </c>
      <c r="T63" s="5">
        <f t="shared" si="10"/>
        <v>0</v>
      </c>
      <c r="U63" s="9">
        <v>0</v>
      </c>
      <c r="V63" s="5">
        <f t="shared" si="11"/>
        <v>0</v>
      </c>
      <c r="W63" s="9">
        <v>0</v>
      </c>
      <c r="X63" s="5">
        <f t="shared" si="12"/>
        <v>0</v>
      </c>
      <c r="Y63" s="9">
        <v>0</v>
      </c>
      <c r="Z63" s="5">
        <v>1000</v>
      </c>
      <c r="AA63" s="5">
        <f t="shared" si="13"/>
        <v>1000.0000000000002</v>
      </c>
      <c r="AB63" s="10"/>
    </row>
    <row r="64" spans="1:28">
      <c r="A64" s="3" t="s">
        <v>65</v>
      </c>
      <c r="B64" s="5">
        <f t="shared" si="1"/>
        <v>-256.02788021234346</v>
      </c>
      <c r="C64" s="9">
        <v>0.21335656684361956</v>
      </c>
      <c r="D64" s="5">
        <f t="shared" si="2"/>
        <v>0</v>
      </c>
      <c r="E64" s="9">
        <v>0</v>
      </c>
      <c r="F64" s="5">
        <f t="shared" si="3"/>
        <v>-36.835920087530901</v>
      </c>
      <c r="G64" s="9">
        <v>3.069660007294242E-2</v>
      </c>
      <c r="H64" s="5">
        <f t="shared" si="4"/>
        <v>-93.739109292053342</v>
      </c>
      <c r="I64" s="9">
        <v>7.8115924410044446E-2</v>
      </c>
      <c r="J64" s="5">
        <f t="shared" si="5"/>
        <v>-172.39534789480084</v>
      </c>
      <c r="K64" s="9">
        <v>0.14366278991233403</v>
      </c>
      <c r="L64" s="5">
        <f t="shared" si="6"/>
        <v>-256.02788021234346</v>
      </c>
      <c r="M64" s="9">
        <v>0.21335656684361956</v>
      </c>
      <c r="N64" s="5">
        <f t="shared" si="7"/>
        <v>0</v>
      </c>
      <c r="O64" s="9">
        <v>0</v>
      </c>
      <c r="P64" s="5">
        <f t="shared" si="8"/>
        <v>0</v>
      </c>
      <c r="Q64" s="9">
        <v>0</v>
      </c>
      <c r="R64" s="5">
        <f t="shared" si="9"/>
        <v>0</v>
      </c>
      <c r="S64" s="9">
        <v>0</v>
      </c>
      <c r="T64" s="5">
        <f t="shared" si="10"/>
        <v>0</v>
      </c>
      <c r="U64" s="9">
        <v>0</v>
      </c>
      <c r="V64" s="5">
        <f t="shared" si="11"/>
        <v>-384.97386230092803</v>
      </c>
      <c r="W64" s="9">
        <v>0.32081155191744004</v>
      </c>
      <c r="X64" s="5">
        <f t="shared" si="12"/>
        <v>0</v>
      </c>
      <c r="Y64" s="9">
        <v>0</v>
      </c>
      <c r="Z64" s="5">
        <v>-1200</v>
      </c>
      <c r="AA64" s="5">
        <f t="shared" si="13"/>
        <v>-1200</v>
      </c>
      <c r="AB64" s="10"/>
    </row>
    <row r="65" spans="1:28">
      <c r="A65" s="3" t="s">
        <v>66</v>
      </c>
      <c r="B65" s="6">
        <f>SUM(B62:B64)</f>
        <v>51.664427479964274</v>
      </c>
      <c r="C65" s="6">
        <f t="shared" ref="C65:X65" si="28">SUM(C62:C64)</f>
        <v>0.5210488745359273</v>
      </c>
      <c r="D65" s="6">
        <f t="shared" si="28"/>
        <v>0</v>
      </c>
      <c r="E65" s="6">
        <f t="shared" si="28"/>
        <v>0</v>
      </c>
      <c r="F65" s="6">
        <f t="shared" si="28"/>
        <v>263.16407991246911</v>
      </c>
      <c r="G65" s="6">
        <f t="shared" si="28"/>
        <v>0.12593469531103765</v>
      </c>
      <c r="H65" s="6">
        <f t="shared" si="28"/>
        <v>1187.0301214771773</v>
      </c>
      <c r="I65" s="6">
        <f t="shared" si="28"/>
        <v>1.0707899170840371</v>
      </c>
      <c r="J65" s="6">
        <f t="shared" si="28"/>
        <v>735.29695979750693</v>
      </c>
      <c r="K65" s="6">
        <f t="shared" si="28"/>
        <v>0.546593192842737</v>
      </c>
      <c r="L65" s="6">
        <f t="shared" si="28"/>
        <v>-102.18172636618959</v>
      </c>
      <c r="M65" s="6">
        <f t="shared" si="28"/>
        <v>0.414821768308821</v>
      </c>
      <c r="N65" s="6">
        <f t="shared" si="28"/>
        <v>0</v>
      </c>
      <c r="O65" s="6">
        <f t="shared" si="28"/>
        <v>0</v>
      </c>
      <c r="P65" s="6">
        <f t="shared" si="28"/>
        <v>0</v>
      </c>
      <c r="Q65" s="6">
        <f t="shared" si="28"/>
        <v>0</v>
      </c>
      <c r="R65" s="6">
        <f t="shared" si="28"/>
        <v>0</v>
      </c>
      <c r="S65" s="6">
        <f t="shared" si="28"/>
        <v>0</v>
      </c>
      <c r="T65" s="6">
        <f t="shared" si="28"/>
        <v>0</v>
      </c>
      <c r="U65" s="6">
        <f t="shared" si="28"/>
        <v>0</v>
      </c>
      <c r="V65" s="6">
        <f t="shared" si="28"/>
        <v>-384.97386230092803</v>
      </c>
      <c r="W65" s="6">
        <f t="shared" si="28"/>
        <v>0.32081155191744004</v>
      </c>
      <c r="X65" s="6">
        <f t="shared" si="28"/>
        <v>0</v>
      </c>
      <c r="Y65" s="9">
        <v>0</v>
      </c>
      <c r="Z65" s="6">
        <f>SUM(Z62:Z64)</f>
        <v>1750</v>
      </c>
      <c r="AA65" s="6">
        <f t="shared" si="13"/>
        <v>1750</v>
      </c>
      <c r="AB65" s="10"/>
    </row>
    <row r="66" spans="1:28">
      <c r="A66" s="3" t="s">
        <v>67</v>
      </c>
      <c r="B66" s="5"/>
      <c r="C66" s="9"/>
      <c r="D66" s="5"/>
      <c r="E66" s="9"/>
      <c r="F66" s="5"/>
      <c r="G66" s="9"/>
      <c r="H66" s="5"/>
      <c r="I66" s="9"/>
      <c r="J66" s="5"/>
      <c r="K66" s="9"/>
      <c r="L66" s="5"/>
      <c r="M66" s="9"/>
      <c r="N66" s="5"/>
      <c r="O66" s="9"/>
      <c r="P66" s="5"/>
      <c r="Q66" s="9"/>
      <c r="R66" s="5"/>
      <c r="S66" s="9"/>
      <c r="T66" s="5"/>
      <c r="U66" s="9"/>
      <c r="V66" s="5"/>
      <c r="W66" s="9"/>
      <c r="X66" s="5"/>
      <c r="Y66" s="9"/>
      <c r="Z66" s="5"/>
      <c r="AA66" s="5"/>
      <c r="AB66" s="10"/>
    </row>
    <row r="67" spans="1:28">
      <c r="A67" s="3" t="s">
        <v>68</v>
      </c>
      <c r="B67" s="5">
        <f t="shared" si="1"/>
        <v>0</v>
      </c>
      <c r="C67" s="9">
        <v>0</v>
      </c>
      <c r="D67" s="5">
        <f t="shared" si="2"/>
        <v>299.4038748137109</v>
      </c>
      <c r="E67" s="9">
        <v>3.6512667660208643E-2</v>
      </c>
      <c r="F67" s="5">
        <f t="shared" si="3"/>
        <v>1967.5111773472429</v>
      </c>
      <c r="G67" s="9">
        <v>0.23994038748137109</v>
      </c>
      <c r="H67" s="5">
        <f t="shared" si="4"/>
        <v>85.543964232488833</v>
      </c>
      <c r="I67" s="9">
        <v>1.0432190760059613E-2</v>
      </c>
      <c r="J67" s="5">
        <f t="shared" si="5"/>
        <v>855.43964232488815</v>
      </c>
      <c r="K67" s="9">
        <v>0.10432190760059612</v>
      </c>
      <c r="L67" s="5">
        <f t="shared" si="6"/>
        <v>1325.9314456035768</v>
      </c>
      <c r="M67" s="9">
        <v>0.161698956780924</v>
      </c>
      <c r="N67" s="5">
        <f t="shared" si="7"/>
        <v>42.771982116244416</v>
      </c>
      <c r="O67" s="9">
        <v>5.2160953800298067E-3</v>
      </c>
      <c r="P67" s="5">
        <f t="shared" si="8"/>
        <v>714.90312965722808</v>
      </c>
      <c r="Q67" s="9">
        <v>8.7183308494783909E-2</v>
      </c>
      <c r="R67" s="5">
        <f t="shared" si="9"/>
        <v>1069.2995529061102</v>
      </c>
      <c r="S67" s="9">
        <v>0.13040238450074515</v>
      </c>
      <c r="T67" s="5">
        <f t="shared" si="10"/>
        <v>85.543964232488833</v>
      </c>
      <c r="U67" s="9">
        <v>1.0432190760059613E-2</v>
      </c>
      <c r="V67" s="5">
        <f t="shared" si="11"/>
        <v>1582.5633383010434</v>
      </c>
      <c r="W67" s="9">
        <v>0.19299552906110284</v>
      </c>
      <c r="X67" s="5">
        <f t="shared" si="12"/>
        <v>171.08792846497767</v>
      </c>
      <c r="Y67" s="9">
        <v>2.0864381520119227E-2</v>
      </c>
      <c r="Z67" s="5">
        <v>8200</v>
      </c>
      <c r="AA67" s="5">
        <f t="shared" si="13"/>
        <v>8200</v>
      </c>
      <c r="AB67" s="10"/>
    </row>
    <row r="68" spans="1:28">
      <c r="A68" s="3" t="s">
        <v>69</v>
      </c>
      <c r="B68" s="5">
        <f t="shared" si="1"/>
        <v>450</v>
      </c>
      <c r="C68" s="9">
        <v>3.7037037037037035E-2</v>
      </c>
      <c r="D68" s="5">
        <f t="shared" si="2"/>
        <v>5850</v>
      </c>
      <c r="E68" s="9">
        <v>0.48148148148148145</v>
      </c>
      <c r="F68" s="5">
        <f t="shared" si="3"/>
        <v>2382.3529411764707</v>
      </c>
      <c r="G68" s="9">
        <v>0.19607843137254902</v>
      </c>
      <c r="H68" s="5">
        <f t="shared" si="4"/>
        <v>450</v>
      </c>
      <c r="I68" s="9">
        <v>3.7037037037037035E-2</v>
      </c>
      <c r="J68" s="5">
        <f t="shared" si="5"/>
        <v>608.82352941176475</v>
      </c>
      <c r="K68" s="9">
        <v>5.0108932461873638E-2</v>
      </c>
      <c r="L68" s="5">
        <f t="shared" si="6"/>
        <v>900</v>
      </c>
      <c r="M68" s="9">
        <v>7.407407407407407E-2</v>
      </c>
      <c r="N68" s="5">
        <f t="shared" si="7"/>
        <v>0</v>
      </c>
      <c r="O68" s="9">
        <v>0</v>
      </c>
      <c r="P68" s="5">
        <f t="shared" si="8"/>
        <v>0</v>
      </c>
      <c r="Q68" s="9">
        <v>0</v>
      </c>
      <c r="R68" s="5">
        <f t="shared" si="9"/>
        <v>0</v>
      </c>
      <c r="S68" s="9">
        <v>0</v>
      </c>
      <c r="T68" s="5">
        <f t="shared" si="10"/>
        <v>0</v>
      </c>
      <c r="U68" s="9">
        <v>0</v>
      </c>
      <c r="V68" s="5">
        <f t="shared" si="11"/>
        <v>900</v>
      </c>
      <c r="W68" s="9">
        <v>7.407407407407407E-2</v>
      </c>
      <c r="X68" s="5">
        <f t="shared" si="12"/>
        <v>608.82352941176475</v>
      </c>
      <c r="Y68" s="9">
        <v>5.0108932461873638E-2</v>
      </c>
      <c r="Z68" s="5">
        <v>12150</v>
      </c>
      <c r="AA68" s="5">
        <f t="shared" si="13"/>
        <v>12149.999999999998</v>
      </c>
      <c r="AB68" s="10"/>
    </row>
    <row r="69" spans="1:28">
      <c r="A69" s="3" t="s">
        <v>70</v>
      </c>
      <c r="B69" s="5">
        <f t="shared" si="1"/>
        <v>0</v>
      </c>
      <c r="C69" s="9">
        <v>0</v>
      </c>
      <c r="D69" s="5">
        <f t="shared" si="2"/>
        <v>0</v>
      </c>
      <c r="E69" s="9">
        <v>0</v>
      </c>
      <c r="F69" s="5">
        <f t="shared" si="3"/>
        <v>-623.42452047250822</v>
      </c>
      <c r="G69" s="9">
        <v>4.1561634698167212E-2</v>
      </c>
      <c r="H69" s="5">
        <f t="shared" si="4"/>
        <v>-5501.4727097860059</v>
      </c>
      <c r="I69" s="9">
        <v>0.36676484731906706</v>
      </c>
      <c r="J69" s="5">
        <f t="shared" si="5"/>
        <v>180.0845814362944</v>
      </c>
      <c r="K69" s="9">
        <v>-1.2005638762419626E-2</v>
      </c>
      <c r="L69" s="5">
        <f t="shared" si="6"/>
        <v>0</v>
      </c>
      <c r="M69" s="9">
        <v>0</v>
      </c>
      <c r="N69" s="5">
        <f t="shared" si="7"/>
        <v>-3121.6890691776098</v>
      </c>
      <c r="O69" s="9">
        <v>0.20811260461184064</v>
      </c>
      <c r="P69" s="5">
        <f t="shared" si="8"/>
        <v>0</v>
      </c>
      <c r="Q69" s="9">
        <v>0</v>
      </c>
      <c r="R69" s="5">
        <f t="shared" si="9"/>
        <v>-3999.2941851716841</v>
      </c>
      <c r="S69" s="9">
        <v>0.26661961234477893</v>
      </c>
      <c r="T69" s="5">
        <f t="shared" si="10"/>
        <v>0</v>
      </c>
      <c r="U69" s="9">
        <v>0</v>
      </c>
      <c r="V69" s="5">
        <f t="shared" si="11"/>
        <v>0</v>
      </c>
      <c r="W69" s="9">
        <v>0</v>
      </c>
      <c r="X69" s="5">
        <f t="shared" si="12"/>
        <v>-1934.2040968284871</v>
      </c>
      <c r="Y69" s="9">
        <v>0.12894693978856581</v>
      </c>
      <c r="Z69" s="5">
        <v>-15000</v>
      </c>
      <c r="AA69" s="5">
        <f t="shared" si="13"/>
        <v>-15000</v>
      </c>
      <c r="AB69" s="10"/>
    </row>
    <row r="70" spans="1:28">
      <c r="A70" s="3" t="s">
        <v>71</v>
      </c>
      <c r="B70" s="6">
        <f>SUM(B67:B69)</f>
        <v>450</v>
      </c>
      <c r="C70" s="6">
        <f t="shared" ref="C70:X70" si="29">SUM(C67:C69)</f>
        <v>3.7037037037037035E-2</v>
      </c>
      <c r="D70" s="6">
        <f t="shared" si="29"/>
        <v>6149.4038748137109</v>
      </c>
      <c r="E70" s="6">
        <f t="shared" si="29"/>
        <v>0.51799414914169006</v>
      </c>
      <c r="F70" s="6">
        <f t="shared" si="29"/>
        <v>3726.4395980512054</v>
      </c>
      <c r="G70" s="6">
        <f t="shared" si="29"/>
        <v>0.47758045355208734</v>
      </c>
      <c r="H70" s="6">
        <f t="shared" si="29"/>
        <v>-4965.9287455535168</v>
      </c>
      <c r="I70" s="6">
        <f t="shared" si="29"/>
        <v>0.41423407511616372</v>
      </c>
      <c r="J70" s="6">
        <f t="shared" si="29"/>
        <v>1644.3477531729475</v>
      </c>
      <c r="K70" s="6">
        <f t="shared" si="29"/>
        <v>0.14242520130005015</v>
      </c>
      <c r="L70" s="6">
        <f t="shared" si="29"/>
        <v>2225.9314456035768</v>
      </c>
      <c r="M70" s="6">
        <f t="shared" si="29"/>
        <v>0.23577303085499807</v>
      </c>
      <c r="N70" s="6">
        <f t="shared" si="29"/>
        <v>-3078.9170870613652</v>
      </c>
      <c r="O70" s="6">
        <f t="shared" si="29"/>
        <v>0.21332869999187046</v>
      </c>
      <c r="P70" s="6">
        <f t="shared" si="29"/>
        <v>714.90312965722808</v>
      </c>
      <c r="Q70" s="6">
        <f t="shared" si="29"/>
        <v>8.7183308494783909E-2</v>
      </c>
      <c r="R70" s="6">
        <f t="shared" si="29"/>
        <v>-2929.9946322655742</v>
      </c>
      <c r="S70" s="6">
        <f t="shared" si="29"/>
        <v>0.39702199684552408</v>
      </c>
      <c r="T70" s="6">
        <f t="shared" si="29"/>
        <v>85.543964232488833</v>
      </c>
      <c r="U70" s="6">
        <f t="shared" si="29"/>
        <v>1.0432190760059613E-2</v>
      </c>
      <c r="V70" s="6">
        <f t="shared" si="29"/>
        <v>2482.5633383010436</v>
      </c>
      <c r="W70" s="6">
        <f t="shared" si="29"/>
        <v>0.26706960313517691</v>
      </c>
      <c r="X70" s="6">
        <f t="shared" si="29"/>
        <v>-1154.2926389517447</v>
      </c>
      <c r="Y70" s="9">
        <v>-7.813810242571162E-2</v>
      </c>
      <c r="Z70" s="6">
        <f>SUM(Z67:Z69)</f>
        <v>5350</v>
      </c>
      <c r="AA70" s="6">
        <f t="shared" si="13"/>
        <v>5349.9999999999982</v>
      </c>
      <c r="AB70" s="10"/>
    </row>
    <row r="71" spans="1:28">
      <c r="A71" s="3" t="s">
        <v>72</v>
      </c>
      <c r="B71" s="5"/>
      <c r="C71" s="9"/>
      <c r="D71" s="5"/>
      <c r="E71" s="9"/>
      <c r="F71" s="5"/>
      <c r="G71" s="9"/>
      <c r="H71" s="5"/>
      <c r="I71" s="9"/>
      <c r="J71" s="5"/>
      <c r="K71" s="9"/>
      <c r="L71" s="5"/>
      <c r="M71" s="9"/>
      <c r="N71" s="5"/>
      <c r="O71" s="9"/>
      <c r="P71" s="5"/>
      <c r="Q71" s="9"/>
      <c r="R71" s="5"/>
      <c r="S71" s="9"/>
      <c r="T71" s="5"/>
      <c r="U71" s="9"/>
      <c r="V71" s="5"/>
      <c r="W71" s="9"/>
      <c r="X71" s="5"/>
      <c r="Y71" s="9"/>
      <c r="Z71" s="5"/>
      <c r="AA71" s="5"/>
      <c r="AB71" s="10"/>
    </row>
    <row r="72" spans="1:28">
      <c r="A72" s="3" t="s">
        <v>134</v>
      </c>
      <c r="B72" s="5">
        <f t="shared" si="1"/>
        <v>0</v>
      </c>
      <c r="C72" s="9"/>
      <c r="D72" s="5">
        <v>100</v>
      </c>
      <c r="E72" s="9"/>
      <c r="F72" s="5">
        <v>200</v>
      </c>
      <c r="G72" s="9"/>
      <c r="H72" s="5">
        <v>100</v>
      </c>
      <c r="I72" s="9"/>
      <c r="J72" s="5">
        <v>200</v>
      </c>
      <c r="K72" s="9"/>
      <c r="L72" s="5">
        <v>100</v>
      </c>
      <c r="M72" s="9"/>
      <c r="N72" s="5">
        <v>100</v>
      </c>
      <c r="O72" s="9"/>
      <c r="P72" s="5">
        <v>100</v>
      </c>
      <c r="Q72" s="9"/>
      <c r="R72" s="5">
        <v>100</v>
      </c>
      <c r="S72" s="9"/>
      <c r="T72" s="5">
        <f t="shared" si="10"/>
        <v>0</v>
      </c>
      <c r="U72" s="9"/>
      <c r="V72" s="5">
        <f t="shared" si="11"/>
        <v>0</v>
      </c>
      <c r="W72" s="9"/>
      <c r="X72" s="5">
        <f t="shared" si="12"/>
        <v>0</v>
      </c>
      <c r="Y72" s="9"/>
      <c r="Z72" s="5">
        <v>1000</v>
      </c>
      <c r="AA72" s="5">
        <f t="shared" si="13"/>
        <v>1000</v>
      </c>
      <c r="AB72" s="10"/>
    </row>
    <row r="73" spans="1:28">
      <c r="A73" s="3" t="s">
        <v>73</v>
      </c>
      <c r="B73" s="5">
        <v>0</v>
      </c>
      <c r="C73" s="9">
        <v>0.10727056019070322</v>
      </c>
      <c r="D73" s="5">
        <v>350</v>
      </c>
      <c r="E73" s="9">
        <v>9.0584028605482717E-2</v>
      </c>
      <c r="F73" s="5">
        <v>525</v>
      </c>
      <c r="G73" s="9">
        <v>0.20738974970202623</v>
      </c>
      <c r="H73" s="5">
        <v>525</v>
      </c>
      <c r="I73" s="9">
        <v>0.11561382598331346</v>
      </c>
      <c r="J73" s="5">
        <v>475</v>
      </c>
      <c r="K73" s="9">
        <v>9.1775923718712751E-2</v>
      </c>
      <c r="L73" s="5">
        <v>525</v>
      </c>
      <c r="M73" s="9">
        <v>0.15137067938021453</v>
      </c>
      <c r="N73" s="5">
        <v>525</v>
      </c>
      <c r="O73" s="9">
        <v>4.1716328963051254E-2</v>
      </c>
      <c r="P73" s="5">
        <v>525</v>
      </c>
      <c r="Q73" s="9">
        <v>9.5351609058402856E-3</v>
      </c>
      <c r="R73" s="5">
        <v>525</v>
      </c>
      <c r="S73" s="9">
        <v>5.4827175208581644E-2</v>
      </c>
      <c r="T73" s="5">
        <v>525</v>
      </c>
      <c r="U73" s="9">
        <v>2.9797377830750895E-2</v>
      </c>
      <c r="V73" s="5">
        <v>0</v>
      </c>
      <c r="W73" s="9">
        <v>8.5816448152562577E-2</v>
      </c>
      <c r="X73" s="5">
        <v>0</v>
      </c>
      <c r="Y73" s="9">
        <v>1.4302741358760428E-2</v>
      </c>
      <c r="Z73" s="5">
        <v>4500</v>
      </c>
      <c r="AA73" s="5">
        <f t="shared" si="13"/>
        <v>4500</v>
      </c>
      <c r="AB73" s="10"/>
    </row>
    <row r="74" spans="1:28">
      <c r="A74" s="3" t="s">
        <v>74</v>
      </c>
      <c r="B74" s="5">
        <f t="shared" ref="B73:B124" si="30">C74*$Z74</f>
        <v>0</v>
      </c>
      <c r="C74" s="9">
        <v>0</v>
      </c>
      <c r="D74" s="5">
        <v>-350</v>
      </c>
      <c r="E74" s="9">
        <v>0</v>
      </c>
      <c r="F74" s="5">
        <v>-525</v>
      </c>
      <c r="G74" s="9">
        <v>0.21878777925734513</v>
      </c>
      <c r="H74" s="5">
        <v>-525</v>
      </c>
      <c r="I74" s="9">
        <v>0.17617623955536474</v>
      </c>
      <c r="J74" s="5">
        <v>-475</v>
      </c>
      <c r="K74" s="9">
        <v>0.11011014972210297</v>
      </c>
      <c r="L74" s="5">
        <v>-525</v>
      </c>
      <c r="M74" s="9">
        <v>9.8986353464463009E-2</v>
      </c>
      <c r="N74" s="5">
        <v>-525</v>
      </c>
      <c r="O74" s="9">
        <v>0.17157397166221808</v>
      </c>
      <c r="P74" s="5">
        <v>-525</v>
      </c>
      <c r="Q74" s="9">
        <v>0</v>
      </c>
      <c r="R74" s="5">
        <v>-525</v>
      </c>
      <c r="S74" s="9">
        <v>0</v>
      </c>
      <c r="T74" s="5">
        <v>-525</v>
      </c>
      <c r="U74" s="9">
        <v>0</v>
      </c>
      <c r="V74" s="5">
        <v>0</v>
      </c>
      <c r="W74" s="9">
        <v>0.13197982600024138</v>
      </c>
      <c r="X74" s="5">
        <v>0</v>
      </c>
      <c r="Y74" s="9">
        <v>9.238568033826472E-2</v>
      </c>
      <c r="Z74" s="5">
        <v>-4500</v>
      </c>
      <c r="AA74" s="5">
        <f t="shared" ref="AA74:AA124" si="31">B74+D74+F74+H74+J74+L74+N74+P74+R74+T74+V74+X74</f>
        <v>-4500</v>
      </c>
      <c r="AB74" s="10"/>
    </row>
    <row r="75" spans="1:28">
      <c r="A75" s="3" t="s">
        <v>75</v>
      </c>
      <c r="B75" s="6">
        <f>SUM(B72:B74)</f>
        <v>0</v>
      </c>
      <c r="C75" s="6">
        <f t="shared" ref="C75:X75" si="32">SUM(C72:C74)</f>
        <v>0.10727056019070322</v>
      </c>
      <c r="D75" s="6">
        <f t="shared" si="32"/>
        <v>100</v>
      </c>
      <c r="E75" s="6">
        <f t="shared" si="32"/>
        <v>9.0584028605482717E-2</v>
      </c>
      <c r="F75" s="6">
        <f t="shared" si="32"/>
        <v>200</v>
      </c>
      <c r="G75" s="6">
        <f t="shared" si="32"/>
        <v>0.42617752895937133</v>
      </c>
      <c r="H75" s="6">
        <f t="shared" si="32"/>
        <v>100</v>
      </c>
      <c r="I75" s="6">
        <f t="shared" si="32"/>
        <v>0.2917900655386782</v>
      </c>
      <c r="J75" s="6">
        <f t="shared" si="32"/>
        <v>200</v>
      </c>
      <c r="K75" s="6">
        <f t="shared" si="32"/>
        <v>0.20188607344081572</v>
      </c>
      <c r="L75" s="6">
        <f t="shared" si="32"/>
        <v>100</v>
      </c>
      <c r="M75" s="6">
        <f t="shared" si="32"/>
        <v>0.25035703284467753</v>
      </c>
      <c r="N75" s="6">
        <f t="shared" si="32"/>
        <v>100</v>
      </c>
      <c r="O75" s="6">
        <f t="shared" si="32"/>
        <v>0.21329030062526932</v>
      </c>
      <c r="P75" s="6">
        <f t="shared" si="32"/>
        <v>100</v>
      </c>
      <c r="Q75" s="6">
        <f t="shared" si="32"/>
        <v>9.5351609058402856E-3</v>
      </c>
      <c r="R75" s="6">
        <f t="shared" si="32"/>
        <v>100</v>
      </c>
      <c r="S75" s="6">
        <f t="shared" si="32"/>
        <v>5.4827175208581644E-2</v>
      </c>
      <c r="T75" s="6">
        <f t="shared" si="32"/>
        <v>0</v>
      </c>
      <c r="U75" s="6">
        <f t="shared" si="32"/>
        <v>2.9797377830750895E-2</v>
      </c>
      <c r="V75" s="6">
        <f t="shared" si="32"/>
        <v>0</v>
      </c>
      <c r="W75" s="6">
        <f t="shared" si="32"/>
        <v>0.21779627415280395</v>
      </c>
      <c r="X75" s="6">
        <f t="shared" si="32"/>
        <v>0</v>
      </c>
      <c r="Y75" s="9">
        <v>0.47369707693561347</v>
      </c>
      <c r="Z75" s="6">
        <f>SUM(Z72:Z74)</f>
        <v>1000</v>
      </c>
      <c r="AA75" s="6">
        <f t="shared" si="31"/>
        <v>1000</v>
      </c>
      <c r="AB75" s="10"/>
    </row>
    <row r="76" spans="1:28">
      <c r="A76" s="3" t="s">
        <v>76</v>
      </c>
      <c r="B76" s="6">
        <f>B65+B70+B75</f>
        <v>501.66442747996427</v>
      </c>
      <c r="C76" s="6">
        <f t="shared" ref="C76:X76" si="33">C65+C70+C75</f>
        <v>0.66535647176366763</v>
      </c>
      <c r="D76" s="6">
        <f t="shared" si="33"/>
        <v>6249.4038748137109</v>
      </c>
      <c r="E76" s="6">
        <f t="shared" si="33"/>
        <v>0.60857817774717282</v>
      </c>
      <c r="F76" s="6">
        <f t="shared" si="33"/>
        <v>4189.6036779636743</v>
      </c>
      <c r="G76" s="6">
        <f t="shared" si="33"/>
        <v>1.0296926778224962</v>
      </c>
      <c r="H76" s="6">
        <f t="shared" si="33"/>
        <v>-3678.8986240763397</v>
      </c>
      <c r="I76" s="6">
        <f t="shared" si="33"/>
        <v>1.7768140577388791</v>
      </c>
      <c r="J76" s="6">
        <f t="shared" si="33"/>
        <v>2579.6447129704543</v>
      </c>
      <c r="K76" s="6">
        <f t="shared" si="33"/>
        <v>0.89090446758360287</v>
      </c>
      <c r="L76" s="6">
        <f t="shared" si="33"/>
        <v>2223.7497192373871</v>
      </c>
      <c r="M76" s="6">
        <f t="shared" si="33"/>
        <v>0.9009518320084966</v>
      </c>
      <c r="N76" s="6">
        <f t="shared" si="33"/>
        <v>-2978.9170870613652</v>
      </c>
      <c r="O76" s="6">
        <f t="shared" si="33"/>
        <v>0.42661900061713975</v>
      </c>
      <c r="P76" s="6">
        <f t="shared" si="33"/>
        <v>814.90312965722808</v>
      </c>
      <c r="Q76" s="6">
        <f t="shared" si="33"/>
        <v>9.6718469400624202E-2</v>
      </c>
      <c r="R76" s="6">
        <f t="shared" si="33"/>
        <v>-2829.9946322655742</v>
      </c>
      <c r="S76" s="6">
        <f t="shared" si="33"/>
        <v>0.45184917205410574</v>
      </c>
      <c r="T76" s="6">
        <f t="shared" si="33"/>
        <v>85.543964232488833</v>
      </c>
      <c r="U76" s="6">
        <f t="shared" si="33"/>
        <v>4.0229568590810505E-2</v>
      </c>
      <c r="V76" s="6">
        <f t="shared" si="33"/>
        <v>2097.5894760001156</v>
      </c>
      <c r="W76" s="6">
        <f t="shared" si="33"/>
        <v>0.80567742920542096</v>
      </c>
      <c r="X76" s="6">
        <f t="shared" si="33"/>
        <v>-1154.2926389517447</v>
      </c>
      <c r="Y76" s="9">
        <v>-0.12645912711622159</v>
      </c>
      <c r="Z76" s="6">
        <f>Z75+Z70+Z65</f>
        <v>8100</v>
      </c>
      <c r="AA76" s="6">
        <f t="shared" si="31"/>
        <v>8100</v>
      </c>
      <c r="AB76" s="10"/>
    </row>
    <row r="77" spans="1:28">
      <c r="A77" s="3" t="s">
        <v>77</v>
      </c>
      <c r="B77" s="6">
        <f>B12+B48+B55+B59+B76</f>
        <v>34413.294157525343</v>
      </c>
      <c r="C77" s="6">
        <f t="shared" ref="C77:X77" ca="1" si="34">C12+C48+C55+C59+C76</f>
        <v>34413.294157525343</v>
      </c>
      <c r="D77" s="6">
        <f t="shared" si="34"/>
        <v>36880.543380355528</v>
      </c>
      <c r="E77" s="6">
        <f t="shared" ca="1" si="34"/>
        <v>34413.294157525343</v>
      </c>
      <c r="F77" s="6">
        <f t="shared" si="34"/>
        <v>35374.141932715967</v>
      </c>
      <c r="G77" s="6">
        <f t="shared" ca="1" si="34"/>
        <v>34413.294157525343</v>
      </c>
      <c r="H77" s="6">
        <f t="shared" si="34"/>
        <v>8660.9822463363271</v>
      </c>
      <c r="I77" s="6">
        <f t="shared" ca="1" si="34"/>
        <v>34413.294157525343</v>
      </c>
      <c r="J77" s="6">
        <f t="shared" si="34"/>
        <v>29960.736625195685</v>
      </c>
      <c r="K77" s="6">
        <f t="shared" ca="1" si="34"/>
        <v>34413.294157525343</v>
      </c>
      <c r="L77" s="6">
        <f t="shared" si="34"/>
        <v>15567.054146432225</v>
      </c>
      <c r="M77" s="6">
        <f t="shared" ca="1" si="34"/>
        <v>34413.294157525343</v>
      </c>
      <c r="N77" s="6">
        <f t="shared" si="34"/>
        <v>18422.546258024748</v>
      </c>
      <c r="O77" s="6">
        <f t="shared" ca="1" si="34"/>
        <v>34413.294157525343</v>
      </c>
      <c r="P77" s="6">
        <f t="shared" si="34"/>
        <v>15085.179074719184</v>
      </c>
      <c r="Q77" s="6">
        <f t="shared" ca="1" si="34"/>
        <v>34413.294157525343</v>
      </c>
      <c r="R77" s="6">
        <f t="shared" si="34"/>
        <v>6602.3552573134439</v>
      </c>
      <c r="S77" s="6">
        <f t="shared" ca="1" si="34"/>
        <v>34413.294157525343</v>
      </c>
      <c r="T77" s="6">
        <f t="shared" si="34"/>
        <v>6937.3183382322186</v>
      </c>
      <c r="U77" s="6">
        <f t="shared" ca="1" si="34"/>
        <v>34413.294157525343</v>
      </c>
      <c r="V77" s="6">
        <f t="shared" si="34"/>
        <v>26140.835622867547</v>
      </c>
      <c r="W77" s="6">
        <f t="shared" ca="1" si="34"/>
        <v>34413.294157525343</v>
      </c>
      <c r="X77" s="6">
        <f t="shared" si="34"/>
        <v>-3819.625706384883</v>
      </c>
      <c r="Y77" s="9">
        <v>-2.9251828239264966E-2</v>
      </c>
      <c r="Z77" s="6">
        <f>Z12+Z48+Z55+Z59+Z76</f>
        <v>230225.35800000001</v>
      </c>
      <c r="AA77" s="6">
        <f t="shared" si="31"/>
        <v>230225.36133333331</v>
      </c>
      <c r="AB77" s="10"/>
    </row>
    <row r="78" spans="1:28">
      <c r="A78" s="3" t="s">
        <v>78</v>
      </c>
      <c r="B78" s="6"/>
      <c r="C78" s="9"/>
      <c r="D78" s="6"/>
      <c r="E78" s="9"/>
      <c r="F78" s="6"/>
      <c r="G78" s="9"/>
      <c r="H78" s="6"/>
      <c r="I78" s="9"/>
      <c r="J78" s="6"/>
      <c r="K78" s="9"/>
      <c r="L78" s="6"/>
      <c r="M78" s="9"/>
      <c r="N78" s="6"/>
      <c r="O78" s="9"/>
      <c r="P78" s="6"/>
      <c r="Q78" s="9"/>
      <c r="R78" s="6"/>
      <c r="S78" s="9"/>
      <c r="T78" s="6"/>
      <c r="U78" s="9"/>
      <c r="V78" s="6"/>
      <c r="W78" s="9"/>
      <c r="X78" s="6"/>
      <c r="Y78" s="9"/>
      <c r="Z78" s="6"/>
      <c r="AA78" s="6">
        <f t="shared" si="31"/>
        <v>0</v>
      </c>
      <c r="AB78" s="10"/>
    </row>
    <row r="79" spans="1:28">
      <c r="A79" s="3" t="s">
        <v>79</v>
      </c>
      <c r="B79" s="4"/>
      <c r="C79" s="9"/>
      <c r="D79" s="4"/>
      <c r="E79" s="9"/>
      <c r="F79" s="4"/>
      <c r="G79" s="9"/>
      <c r="H79" s="4"/>
      <c r="I79" s="9"/>
      <c r="J79" s="4"/>
      <c r="K79" s="9"/>
      <c r="L79" s="4"/>
      <c r="M79" s="9"/>
      <c r="N79" s="4"/>
      <c r="O79" s="9"/>
      <c r="P79" s="4"/>
      <c r="Q79" s="9"/>
      <c r="R79" s="4"/>
      <c r="S79" s="9"/>
      <c r="T79" s="4"/>
      <c r="U79" s="9"/>
      <c r="V79" s="4"/>
      <c r="W79" s="9"/>
      <c r="X79" s="4"/>
      <c r="Y79" s="9"/>
      <c r="Z79" s="4"/>
      <c r="AA79" s="4"/>
      <c r="AB79" s="10"/>
    </row>
    <row r="80" spans="1:28">
      <c r="A80" s="3" t="s">
        <v>80</v>
      </c>
      <c r="B80" s="5">
        <f t="shared" si="30"/>
        <v>0</v>
      </c>
      <c r="C80" s="9">
        <v>0</v>
      </c>
      <c r="D80" s="5">
        <f t="shared" ref="D73:S124" si="35">E80*$Z80</f>
        <v>0</v>
      </c>
      <c r="E80" s="9">
        <v>0</v>
      </c>
      <c r="F80" s="5">
        <f t="shared" ref="F73:F124" si="36">G80*$Z80</f>
        <v>0</v>
      </c>
      <c r="G80" s="9">
        <v>0</v>
      </c>
      <c r="H80" s="5">
        <f t="shared" ref="H72:H123" si="37">I80*$Z80</f>
        <v>0</v>
      </c>
      <c r="I80" s="9">
        <v>0</v>
      </c>
      <c r="J80" s="5">
        <f t="shared" ref="J73:J124" si="38">K80*$Z80</f>
        <v>0</v>
      </c>
      <c r="K80" s="9">
        <v>0</v>
      </c>
      <c r="L80" s="5">
        <f t="shared" ref="L73:L124" si="39">M80*$Z80</f>
        <v>0</v>
      </c>
      <c r="M80" s="9">
        <v>0</v>
      </c>
      <c r="N80" s="5">
        <f t="shared" ref="N73:N124" si="40">O80*$Z80</f>
        <v>0</v>
      </c>
      <c r="O80" s="9">
        <v>0</v>
      </c>
      <c r="P80" s="5">
        <f t="shared" ref="P73:P124" si="41">Q80*$Z80</f>
        <v>283.20000000000005</v>
      </c>
      <c r="Q80" s="9">
        <v>1</v>
      </c>
      <c r="R80" s="5">
        <f t="shared" ref="R73:R124" si="42">S80*$Z80</f>
        <v>0</v>
      </c>
      <c r="S80" s="9">
        <v>0</v>
      </c>
      <c r="T80" s="5">
        <f t="shared" ref="T73:X124" si="43">U80*$Z80</f>
        <v>0</v>
      </c>
      <c r="U80" s="9">
        <v>0</v>
      </c>
      <c r="V80" s="5">
        <f t="shared" ref="V73:V124" si="44">W80*$Z80</f>
        <v>0</v>
      </c>
      <c r="W80" s="9">
        <v>0</v>
      </c>
      <c r="X80" s="5">
        <f t="shared" ref="X73:X124" si="45">Y80*$Z80</f>
        <v>0</v>
      </c>
      <c r="Y80" s="9">
        <v>0</v>
      </c>
      <c r="Z80" s="5">
        <v>283.20000000000005</v>
      </c>
      <c r="AA80" s="5">
        <f t="shared" si="31"/>
        <v>283.20000000000005</v>
      </c>
      <c r="AB80" s="10"/>
    </row>
    <row r="81" spans="1:28">
      <c r="A81" s="3" t="s">
        <v>81</v>
      </c>
      <c r="B81" s="5">
        <f t="shared" si="30"/>
        <v>1500</v>
      </c>
      <c r="C81" s="9">
        <v>0.10638297872340426</v>
      </c>
      <c r="D81" s="5">
        <f t="shared" si="35"/>
        <v>1000.0000000000001</v>
      </c>
      <c r="E81" s="9">
        <v>7.0921985815602842E-2</v>
      </c>
      <c r="F81" s="5">
        <f t="shared" si="36"/>
        <v>1000.0000000000001</v>
      </c>
      <c r="G81" s="9">
        <v>7.0921985815602842E-2</v>
      </c>
      <c r="H81" s="5">
        <f t="shared" si="37"/>
        <v>1500</v>
      </c>
      <c r="I81" s="9">
        <v>0.10638297872340426</v>
      </c>
      <c r="J81" s="5">
        <f t="shared" si="38"/>
        <v>1000.0000000000001</v>
      </c>
      <c r="K81" s="9">
        <v>7.0921985815602842E-2</v>
      </c>
      <c r="L81" s="5">
        <f t="shared" si="39"/>
        <v>1000.0000000000001</v>
      </c>
      <c r="M81" s="9">
        <v>7.0921985815602842E-2</v>
      </c>
      <c r="N81" s="5">
        <f t="shared" si="40"/>
        <v>1100</v>
      </c>
      <c r="O81" s="9">
        <v>7.8014184397163122E-2</v>
      </c>
      <c r="P81" s="5">
        <f t="shared" si="41"/>
        <v>1150</v>
      </c>
      <c r="Q81" s="9">
        <v>8.1560283687943269E-2</v>
      </c>
      <c r="R81" s="5">
        <f t="shared" si="42"/>
        <v>1250</v>
      </c>
      <c r="S81" s="9">
        <v>8.8652482269503549E-2</v>
      </c>
      <c r="T81" s="5">
        <f t="shared" si="43"/>
        <v>1250</v>
      </c>
      <c r="U81" s="9">
        <v>8.8652482269503549E-2</v>
      </c>
      <c r="V81" s="5">
        <f t="shared" si="44"/>
        <v>1100</v>
      </c>
      <c r="W81" s="9">
        <v>7.8014184397163122E-2</v>
      </c>
      <c r="X81" s="5">
        <f t="shared" si="45"/>
        <v>1250</v>
      </c>
      <c r="Y81" s="9">
        <v>8.8652482269503549E-2</v>
      </c>
      <c r="Z81" s="5">
        <v>14100</v>
      </c>
      <c r="AA81" s="5">
        <f t="shared" si="31"/>
        <v>14100</v>
      </c>
      <c r="AB81" s="10"/>
    </row>
    <row r="82" spans="1:28">
      <c r="A82" s="3" t="s">
        <v>82</v>
      </c>
      <c r="B82" s="5">
        <f t="shared" si="30"/>
        <v>0</v>
      </c>
      <c r="C82" s="9">
        <v>0</v>
      </c>
      <c r="D82" s="5">
        <f t="shared" si="35"/>
        <v>60</v>
      </c>
      <c r="E82" s="9">
        <v>0.1111111111111111</v>
      </c>
      <c r="F82" s="5">
        <f t="shared" si="36"/>
        <v>0</v>
      </c>
      <c r="G82" s="9">
        <v>0</v>
      </c>
      <c r="H82" s="5">
        <f t="shared" si="37"/>
        <v>0</v>
      </c>
      <c r="I82" s="9">
        <v>0</v>
      </c>
      <c r="J82" s="5">
        <f t="shared" si="38"/>
        <v>0</v>
      </c>
      <c r="K82" s="9">
        <v>0</v>
      </c>
      <c r="L82" s="5">
        <f t="shared" si="39"/>
        <v>0</v>
      </c>
      <c r="M82" s="9">
        <v>0</v>
      </c>
      <c r="N82" s="5">
        <f t="shared" si="40"/>
        <v>0</v>
      </c>
      <c r="O82" s="9">
        <v>0</v>
      </c>
      <c r="P82" s="5">
        <f t="shared" si="41"/>
        <v>480</v>
      </c>
      <c r="Q82" s="9">
        <v>0.88888888888888884</v>
      </c>
      <c r="R82" s="5">
        <f t="shared" si="42"/>
        <v>0</v>
      </c>
      <c r="S82" s="9">
        <v>0</v>
      </c>
      <c r="T82" s="5">
        <f t="shared" si="43"/>
        <v>0</v>
      </c>
      <c r="U82" s="9">
        <v>0</v>
      </c>
      <c r="V82" s="5">
        <f t="shared" si="44"/>
        <v>0</v>
      </c>
      <c r="W82" s="9">
        <v>0</v>
      </c>
      <c r="X82" s="5">
        <f t="shared" si="45"/>
        <v>0</v>
      </c>
      <c r="Y82" s="9">
        <v>0</v>
      </c>
      <c r="Z82" s="5">
        <v>540</v>
      </c>
      <c r="AA82" s="5">
        <f t="shared" si="31"/>
        <v>540</v>
      </c>
      <c r="AB82" s="10"/>
    </row>
    <row r="83" spans="1:28">
      <c r="A83" s="3" t="s">
        <v>83</v>
      </c>
      <c r="B83" s="5">
        <f t="shared" si="30"/>
        <v>299.89838848402292</v>
      </c>
      <c r="C83" s="9">
        <v>7.203856456804468E-2</v>
      </c>
      <c r="D83" s="5">
        <f t="shared" si="35"/>
        <v>181.85112843348128</v>
      </c>
      <c r="E83" s="9">
        <v>4.3682442988936046E-2</v>
      </c>
      <c r="F83" s="5">
        <f t="shared" si="36"/>
        <v>579.64021047177278</v>
      </c>
      <c r="G83" s="9">
        <v>0.13923532213488496</v>
      </c>
      <c r="H83" s="5">
        <f t="shared" si="37"/>
        <v>346.8672298371805</v>
      </c>
      <c r="I83" s="9">
        <v>8.3320945669222046E-2</v>
      </c>
      <c r="J83" s="5">
        <f t="shared" si="38"/>
        <v>385.86690235628532</v>
      </c>
      <c r="K83" s="9">
        <v>9.2689053451000952E-2</v>
      </c>
      <c r="L83" s="5">
        <f t="shared" si="39"/>
        <v>322.71976421006644</v>
      </c>
      <c r="M83" s="9">
        <v>7.7520485151488489E-2</v>
      </c>
      <c r="N83" s="5">
        <f t="shared" si="40"/>
        <v>575.23254022916672</v>
      </c>
      <c r="O83" s="9">
        <v>0.138176556067579</v>
      </c>
      <c r="P83" s="5">
        <f t="shared" si="41"/>
        <v>153.29599256376105</v>
      </c>
      <c r="Q83" s="9">
        <v>3.6823216403896498E-2</v>
      </c>
      <c r="R83" s="5">
        <f t="shared" si="42"/>
        <v>226.25619597790239</v>
      </c>
      <c r="S83" s="9">
        <v>5.4348980217153217E-2</v>
      </c>
      <c r="T83" s="5">
        <f t="shared" si="43"/>
        <v>579.52654562310954</v>
      </c>
      <c r="U83" s="9">
        <v>0.13920801871194582</v>
      </c>
      <c r="V83" s="5">
        <f t="shared" si="44"/>
        <v>303.80088162145927</v>
      </c>
      <c r="W83" s="9">
        <v>7.2975982088954547E-2</v>
      </c>
      <c r="X83" s="5">
        <f t="shared" si="45"/>
        <v>208.06982019179137</v>
      </c>
      <c r="Y83" s="9">
        <v>4.9980432546893626E-2</v>
      </c>
      <c r="Z83" s="5">
        <v>4163.0255999999999</v>
      </c>
      <c r="AA83" s="5">
        <f t="shared" si="31"/>
        <v>4163.025599999999</v>
      </c>
      <c r="AB83" s="10"/>
    </row>
    <row r="84" spans="1:28">
      <c r="A84" s="3" t="s">
        <v>84</v>
      </c>
      <c r="B84" s="5">
        <f t="shared" si="30"/>
        <v>137.5039063609762</v>
      </c>
      <c r="C84" s="9">
        <v>6.8751953180488101E-2</v>
      </c>
      <c r="D84" s="5">
        <f t="shared" si="35"/>
        <v>127.84454103809773</v>
      </c>
      <c r="E84" s="9">
        <v>6.3922270519048863E-2</v>
      </c>
      <c r="F84" s="5">
        <f t="shared" si="36"/>
        <v>242.04664905252997</v>
      </c>
      <c r="G84" s="9">
        <v>0.12102332452626499</v>
      </c>
      <c r="H84" s="5">
        <f t="shared" si="37"/>
        <v>409.09684934231097</v>
      </c>
      <c r="I84" s="9">
        <v>0.2045484246711555</v>
      </c>
      <c r="J84" s="5">
        <f t="shared" si="38"/>
        <v>350.00426148470143</v>
      </c>
      <c r="K84" s="9">
        <v>0.17500213074235071</v>
      </c>
      <c r="L84" s="5">
        <f t="shared" si="39"/>
        <v>153.40776726611557</v>
      </c>
      <c r="M84" s="9">
        <v>7.6703883633057787E-2</v>
      </c>
      <c r="N84" s="5">
        <f t="shared" si="40"/>
        <v>94.315179408505969</v>
      </c>
      <c r="O84" s="9">
        <v>4.7157589704252982E-2</v>
      </c>
      <c r="P84" s="5">
        <f t="shared" si="41"/>
        <v>94.315179408505969</v>
      </c>
      <c r="Q84" s="9">
        <v>4.7157589704252982E-2</v>
      </c>
      <c r="R84" s="5">
        <f t="shared" si="42"/>
        <v>94.315179408505969</v>
      </c>
      <c r="S84" s="9">
        <v>4.7157589704252982E-2</v>
      </c>
      <c r="T84" s="5">
        <f t="shared" si="43"/>
        <v>94.315179408505969</v>
      </c>
      <c r="U84" s="9">
        <v>4.7157589704252982E-2</v>
      </c>
      <c r="V84" s="5">
        <f t="shared" si="44"/>
        <v>94.315179408505969</v>
      </c>
      <c r="W84" s="9">
        <v>4.7157589704252982E-2</v>
      </c>
      <c r="X84" s="5">
        <f t="shared" si="45"/>
        <v>108.52012841273904</v>
      </c>
      <c r="Y84" s="9">
        <v>5.4260064206369522E-2</v>
      </c>
      <c r="Z84" s="5">
        <v>2000</v>
      </c>
      <c r="AA84" s="5">
        <f t="shared" si="31"/>
        <v>2000.0000000000011</v>
      </c>
      <c r="AB84" s="10"/>
    </row>
    <row r="85" spans="1:28">
      <c r="A85" s="3" t="s">
        <v>85</v>
      </c>
      <c r="C85" s="9"/>
      <c r="E85" s="9"/>
      <c r="G85" s="9"/>
      <c r="I85" s="9"/>
      <c r="K85" s="9"/>
      <c r="M85" s="9"/>
      <c r="O85" s="9"/>
      <c r="Q85" s="9"/>
      <c r="S85" s="9"/>
      <c r="U85" s="9"/>
      <c r="W85" s="9"/>
      <c r="Y85" s="9"/>
      <c r="AB85" s="10"/>
    </row>
    <row r="86" spans="1:28">
      <c r="A86" s="3" t="s">
        <v>86</v>
      </c>
      <c r="B86" s="5">
        <f t="shared" si="30"/>
        <v>0</v>
      </c>
      <c r="C86" s="9">
        <v>0</v>
      </c>
      <c r="D86" s="5">
        <f t="shared" si="35"/>
        <v>0</v>
      </c>
      <c r="E86" s="9">
        <v>0</v>
      </c>
      <c r="F86" s="5">
        <f t="shared" si="36"/>
        <v>0</v>
      </c>
      <c r="G86" s="9">
        <v>0</v>
      </c>
      <c r="H86" s="5">
        <f t="shared" si="37"/>
        <v>346.26250395884762</v>
      </c>
      <c r="I86" s="9">
        <v>0.19592607528203712</v>
      </c>
      <c r="J86" s="5">
        <f t="shared" si="38"/>
        <v>111.60534170018981</v>
      </c>
      <c r="K86" s="9">
        <v>6.3149767386963818E-2</v>
      </c>
      <c r="L86" s="5">
        <f t="shared" si="39"/>
        <v>111.62272435601106</v>
      </c>
      <c r="M86" s="9">
        <v>6.3159603033313333E-2</v>
      </c>
      <c r="N86" s="5">
        <f t="shared" si="40"/>
        <v>111.62272435601106</v>
      </c>
      <c r="O86" s="9">
        <v>6.3159603033313333E-2</v>
      </c>
      <c r="P86" s="5">
        <f t="shared" si="41"/>
        <v>111.62272435601106</v>
      </c>
      <c r="Q86" s="9">
        <v>6.3159603033313333E-2</v>
      </c>
      <c r="R86" s="5">
        <f t="shared" si="42"/>
        <v>375.66526628045358</v>
      </c>
      <c r="S86" s="9">
        <v>0.21256307108221614</v>
      </c>
      <c r="T86" s="5">
        <f t="shared" si="43"/>
        <v>111.62272435601106</v>
      </c>
      <c r="U86" s="9">
        <v>6.3159603033313333E-2</v>
      </c>
      <c r="V86" s="5">
        <f t="shared" si="44"/>
        <v>111.62272435601106</v>
      </c>
      <c r="W86" s="9">
        <v>6.3159603033313333E-2</v>
      </c>
      <c r="X86" s="5">
        <f t="shared" si="45"/>
        <v>375.66526628045358</v>
      </c>
      <c r="Y86" s="9">
        <v>0.21256307108221614</v>
      </c>
      <c r="Z86" s="5">
        <v>1767.3120000000001</v>
      </c>
      <c r="AA86" s="5">
        <f t="shared" si="31"/>
        <v>1767.3119999999999</v>
      </c>
      <c r="AB86" s="10"/>
    </row>
    <row r="87" spans="1:28">
      <c r="A87" s="3" t="s">
        <v>87</v>
      </c>
      <c r="B87" s="6">
        <f t="shared" si="30"/>
        <v>0</v>
      </c>
      <c r="C87" s="9">
        <v>0</v>
      </c>
      <c r="D87" s="6">
        <f t="shared" si="35"/>
        <v>0</v>
      </c>
      <c r="E87" s="9">
        <v>0</v>
      </c>
      <c r="F87" s="6">
        <f t="shared" si="36"/>
        <v>0</v>
      </c>
      <c r="G87" s="9">
        <v>0</v>
      </c>
      <c r="H87" s="6">
        <f t="shared" si="37"/>
        <v>346.26250395884762</v>
      </c>
      <c r="I87" s="9">
        <v>0.19592607528203712</v>
      </c>
      <c r="J87" s="6">
        <f t="shared" si="38"/>
        <v>111.60534170018981</v>
      </c>
      <c r="K87" s="9">
        <v>6.3149767386963818E-2</v>
      </c>
      <c r="L87" s="6">
        <f t="shared" si="39"/>
        <v>111.62272435601106</v>
      </c>
      <c r="M87" s="9">
        <v>6.3159603033313333E-2</v>
      </c>
      <c r="N87" s="6">
        <f t="shared" si="40"/>
        <v>111.62272435601106</v>
      </c>
      <c r="O87" s="9">
        <v>6.3159603033313333E-2</v>
      </c>
      <c r="P87" s="6">
        <f t="shared" si="41"/>
        <v>111.62272435601106</v>
      </c>
      <c r="Q87" s="9">
        <v>6.3159603033313333E-2</v>
      </c>
      <c r="R87" s="6">
        <f t="shared" si="42"/>
        <v>375.66526628045358</v>
      </c>
      <c r="S87" s="9">
        <v>0.21256307108221614</v>
      </c>
      <c r="T87" s="6">
        <f t="shared" si="43"/>
        <v>111.62272435601106</v>
      </c>
      <c r="U87" s="9">
        <v>6.3159603033313333E-2</v>
      </c>
      <c r="V87" s="6">
        <f t="shared" si="44"/>
        <v>111.62272435601106</v>
      </c>
      <c r="W87" s="9">
        <v>6.3159603033313333E-2</v>
      </c>
      <c r="X87" s="6">
        <f t="shared" si="45"/>
        <v>375.66526628045358</v>
      </c>
      <c r="Y87" s="9">
        <v>0.21256307108221614</v>
      </c>
      <c r="Z87" s="6">
        <f>SUM(Z86)</f>
        <v>1767.3120000000001</v>
      </c>
      <c r="AA87" s="6">
        <f t="shared" si="31"/>
        <v>1767.3119999999999</v>
      </c>
      <c r="AB87" s="10"/>
    </row>
    <row r="88" spans="1:28">
      <c r="A88" s="3" t="s">
        <v>88</v>
      </c>
      <c r="B88" s="5">
        <f t="shared" si="30"/>
        <v>112.06800000000001</v>
      </c>
      <c r="C88" s="9">
        <v>0.18522411741372474</v>
      </c>
      <c r="D88" s="5">
        <f t="shared" si="35"/>
        <v>0</v>
      </c>
      <c r="E88" s="9">
        <v>0</v>
      </c>
      <c r="F88" s="5">
        <f t="shared" si="36"/>
        <v>0</v>
      </c>
      <c r="G88" s="9">
        <v>0</v>
      </c>
      <c r="H88" s="5">
        <f t="shared" si="37"/>
        <v>0</v>
      </c>
      <c r="I88" s="9">
        <v>0</v>
      </c>
      <c r="J88" s="5">
        <f t="shared" si="38"/>
        <v>298.36799999999999</v>
      </c>
      <c r="K88" s="9">
        <v>0.49313764379214603</v>
      </c>
      <c r="L88" s="5">
        <f t="shared" si="39"/>
        <v>194.60400000000001</v>
      </c>
      <c r="M88" s="9">
        <v>0.32163823879412934</v>
      </c>
      <c r="N88" s="5">
        <f t="shared" si="40"/>
        <v>0</v>
      </c>
      <c r="O88" s="9">
        <v>0</v>
      </c>
      <c r="P88" s="5">
        <f t="shared" si="41"/>
        <v>0</v>
      </c>
      <c r="Q88" s="9">
        <v>0</v>
      </c>
      <c r="R88" s="5">
        <f t="shared" si="42"/>
        <v>0</v>
      </c>
      <c r="S88" s="9">
        <v>0</v>
      </c>
      <c r="T88" s="5">
        <f t="shared" si="43"/>
        <v>0</v>
      </c>
      <c r="U88" s="9">
        <v>0</v>
      </c>
      <c r="V88" s="5">
        <f t="shared" si="44"/>
        <v>0</v>
      </c>
      <c r="W88" s="9">
        <v>0</v>
      </c>
      <c r="X88" s="5">
        <f t="shared" si="45"/>
        <v>0</v>
      </c>
      <c r="Y88" s="9">
        <v>0</v>
      </c>
      <c r="Z88" s="5">
        <v>605.04</v>
      </c>
      <c r="AA88" s="5">
        <f t="shared" si="31"/>
        <v>605.04000000000008</v>
      </c>
      <c r="AB88" s="10"/>
    </row>
    <row r="89" spans="1:28">
      <c r="A89" s="3" t="s">
        <v>89</v>
      </c>
      <c r="B89" s="5">
        <f t="shared" si="30"/>
        <v>0</v>
      </c>
      <c r="C89" s="9">
        <v>0</v>
      </c>
      <c r="D89" s="5">
        <f t="shared" si="35"/>
        <v>249.27599999999998</v>
      </c>
      <c r="E89" s="9">
        <v>0.73356169220990175</v>
      </c>
      <c r="F89" s="5">
        <f t="shared" si="36"/>
        <v>62.724000000000011</v>
      </c>
      <c r="G89" s="9">
        <v>0.18458224450879301</v>
      </c>
      <c r="H89" s="5">
        <f t="shared" si="37"/>
        <v>0</v>
      </c>
      <c r="I89" s="9">
        <v>0</v>
      </c>
      <c r="J89" s="5">
        <f t="shared" si="38"/>
        <v>0</v>
      </c>
      <c r="K89" s="9">
        <v>0</v>
      </c>
      <c r="L89" s="5">
        <f t="shared" si="39"/>
        <v>0</v>
      </c>
      <c r="M89" s="9">
        <v>0</v>
      </c>
      <c r="N89" s="5">
        <f t="shared" si="40"/>
        <v>27.816000000000003</v>
      </c>
      <c r="O89" s="9">
        <v>8.185606328130518E-2</v>
      </c>
      <c r="P89" s="5">
        <f t="shared" si="41"/>
        <v>0</v>
      </c>
      <c r="Q89" s="9">
        <v>0</v>
      </c>
      <c r="R89" s="5">
        <f t="shared" si="42"/>
        <v>0</v>
      </c>
      <c r="S89" s="9">
        <v>0</v>
      </c>
      <c r="T89" s="5">
        <f t="shared" si="43"/>
        <v>0</v>
      </c>
      <c r="U89" s="9">
        <v>0</v>
      </c>
      <c r="V89" s="5">
        <f t="shared" si="44"/>
        <v>0</v>
      </c>
      <c r="W89" s="9">
        <v>0</v>
      </c>
      <c r="X89" s="5">
        <f t="shared" si="45"/>
        <v>0</v>
      </c>
      <c r="Y89" s="9">
        <v>0</v>
      </c>
      <c r="Z89" s="5">
        <v>339.81600000000003</v>
      </c>
      <c r="AA89" s="5">
        <f t="shared" si="31"/>
        <v>339.81600000000003</v>
      </c>
      <c r="AB89" s="10"/>
    </row>
    <row r="90" spans="1:28">
      <c r="A90" s="3" t="s">
        <v>90</v>
      </c>
      <c r="B90" s="5">
        <f t="shared" si="30"/>
        <v>583.27147543753767</v>
      </c>
      <c r="C90" s="9">
        <v>0.50403339368336342</v>
      </c>
      <c r="D90" s="5">
        <f t="shared" si="35"/>
        <v>-508.60350802655392</v>
      </c>
      <c r="E90" s="9">
        <v>-0.43950915308790978</v>
      </c>
      <c r="F90" s="5">
        <f t="shared" si="36"/>
        <v>500.99121641520821</v>
      </c>
      <c r="G90" s="9">
        <v>0.4329309997988332</v>
      </c>
      <c r="H90" s="5">
        <f t="shared" si="37"/>
        <v>436.53116910078455</v>
      </c>
      <c r="I90" s="9">
        <v>0.37722792194729426</v>
      </c>
      <c r="J90" s="5">
        <f t="shared" si="38"/>
        <v>-45.382759927579961</v>
      </c>
      <c r="K90" s="9">
        <v>-3.9217461275397297E-2</v>
      </c>
      <c r="L90" s="5">
        <f t="shared" si="39"/>
        <v>0</v>
      </c>
      <c r="M90" s="9">
        <v>0</v>
      </c>
      <c r="N90" s="5">
        <f t="shared" si="40"/>
        <v>6.1107845503922755</v>
      </c>
      <c r="O90" s="9">
        <v>5.2806276403138197E-3</v>
      </c>
      <c r="P90" s="5">
        <f t="shared" si="41"/>
        <v>149.53380784550393</v>
      </c>
      <c r="Q90" s="9">
        <v>0.12921947294306979</v>
      </c>
      <c r="R90" s="5">
        <f t="shared" si="42"/>
        <v>0</v>
      </c>
      <c r="S90" s="9">
        <v>0</v>
      </c>
      <c r="T90" s="5">
        <f t="shared" si="43"/>
        <v>0</v>
      </c>
      <c r="U90" s="9">
        <v>0</v>
      </c>
      <c r="V90" s="5">
        <f t="shared" si="44"/>
        <v>0</v>
      </c>
      <c r="W90" s="9">
        <v>0</v>
      </c>
      <c r="X90" s="5">
        <f t="shared" si="45"/>
        <v>34.755814604707297</v>
      </c>
      <c r="Y90" s="9">
        <v>3.0034198350432504E-2</v>
      </c>
      <c r="Z90" s="5">
        <v>1157.2080000000001</v>
      </c>
      <c r="AA90" s="5">
        <f t="shared" si="31"/>
        <v>1157.2080000000001</v>
      </c>
      <c r="AB90" s="10"/>
    </row>
    <row r="91" spans="1:28">
      <c r="A91" s="3" t="s">
        <v>91</v>
      </c>
      <c r="B91" s="5"/>
      <c r="C91" s="9"/>
      <c r="D91" s="5"/>
      <c r="E91" s="9"/>
      <c r="F91" s="5"/>
      <c r="G91" s="9"/>
      <c r="H91" s="5"/>
      <c r="I91" s="9"/>
      <c r="J91" s="5"/>
      <c r="K91" s="9"/>
      <c r="L91" s="5"/>
      <c r="M91" s="9"/>
      <c r="N91" s="5"/>
      <c r="O91" s="9"/>
      <c r="P91" s="5"/>
      <c r="Q91" s="9"/>
      <c r="R91" s="5"/>
      <c r="S91" s="9"/>
      <c r="T91" s="5"/>
      <c r="U91" s="9"/>
      <c r="V91" s="5"/>
      <c r="W91" s="9"/>
      <c r="X91" s="5"/>
      <c r="Y91" s="9"/>
      <c r="Z91" s="5"/>
      <c r="AA91" s="5"/>
      <c r="AB91" s="10"/>
    </row>
    <row r="92" spans="1:28">
      <c r="A92" s="3" t="s">
        <v>92</v>
      </c>
      <c r="B92" s="5">
        <f t="shared" si="30"/>
        <v>0</v>
      </c>
      <c r="C92" s="9">
        <v>0</v>
      </c>
      <c r="D92" s="5">
        <f t="shared" si="35"/>
        <v>0</v>
      </c>
      <c r="E92" s="9">
        <v>0</v>
      </c>
      <c r="F92" s="5">
        <f t="shared" si="36"/>
        <v>0</v>
      </c>
      <c r="G92" s="9">
        <v>0</v>
      </c>
      <c r="H92" s="5">
        <f t="shared" si="37"/>
        <v>0</v>
      </c>
      <c r="I92" s="9">
        <v>0</v>
      </c>
      <c r="J92" s="5">
        <f t="shared" si="38"/>
        <v>0</v>
      </c>
      <c r="K92" s="9">
        <v>0</v>
      </c>
      <c r="L92" s="5">
        <f t="shared" si="39"/>
        <v>65.569999999999993</v>
      </c>
      <c r="M92" s="9">
        <v>1</v>
      </c>
      <c r="N92" s="5">
        <f t="shared" si="40"/>
        <v>0</v>
      </c>
      <c r="O92" s="9">
        <v>0</v>
      </c>
      <c r="P92" s="5">
        <f t="shared" si="41"/>
        <v>0</v>
      </c>
      <c r="Q92" s="9">
        <v>0</v>
      </c>
      <c r="R92" s="5">
        <f t="shared" si="42"/>
        <v>0</v>
      </c>
      <c r="S92" s="9">
        <v>0</v>
      </c>
      <c r="T92" s="5">
        <f t="shared" si="43"/>
        <v>0</v>
      </c>
      <c r="U92" s="9">
        <v>0</v>
      </c>
      <c r="V92" s="5">
        <f t="shared" si="44"/>
        <v>0</v>
      </c>
      <c r="W92" s="9">
        <v>0</v>
      </c>
      <c r="X92" s="5">
        <f t="shared" si="45"/>
        <v>0</v>
      </c>
      <c r="Y92" s="9">
        <v>0</v>
      </c>
      <c r="Z92" s="5">
        <v>65.569999999999993</v>
      </c>
      <c r="AA92" s="5">
        <f t="shared" si="31"/>
        <v>65.569999999999993</v>
      </c>
      <c r="AB92" s="10"/>
    </row>
    <row r="93" spans="1:28">
      <c r="A93" s="3" t="s">
        <v>93</v>
      </c>
      <c r="B93" s="6">
        <f t="shared" si="30"/>
        <v>0</v>
      </c>
      <c r="C93" s="9">
        <v>0</v>
      </c>
      <c r="D93" s="6">
        <f t="shared" si="35"/>
        <v>0</v>
      </c>
      <c r="E93" s="9">
        <v>0</v>
      </c>
      <c r="F93" s="6">
        <f t="shared" si="36"/>
        <v>0</v>
      </c>
      <c r="G93" s="9">
        <v>0</v>
      </c>
      <c r="H93" s="6">
        <f t="shared" si="37"/>
        <v>0</v>
      </c>
      <c r="I93" s="9">
        <v>0</v>
      </c>
      <c r="J93" s="6">
        <f t="shared" si="38"/>
        <v>0</v>
      </c>
      <c r="K93" s="9">
        <v>0</v>
      </c>
      <c r="L93" s="6">
        <f t="shared" si="39"/>
        <v>65.569999999999993</v>
      </c>
      <c r="M93" s="9">
        <v>1</v>
      </c>
      <c r="N93" s="6">
        <f t="shared" si="40"/>
        <v>0</v>
      </c>
      <c r="O93" s="9">
        <v>0</v>
      </c>
      <c r="P93" s="6">
        <f t="shared" si="41"/>
        <v>0</v>
      </c>
      <c r="Q93" s="9">
        <v>0</v>
      </c>
      <c r="R93" s="6">
        <f t="shared" si="42"/>
        <v>0</v>
      </c>
      <c r="S93" s="9">
        <v>0</v>
      </c>
      <c r="T93" s="6">
        <f t="shared" si="43"/>
        <v>0</v>
      </c>
      <c r="U93" s="9">
        <v>0</v>
      </c>
      <c r="V93" s="6">
        <f t="shared" si="44"/>
        <v>0</v>
      </c>
      <c r="W93" s="9">
        <v>0</v>
      </c>
      <c r="X93" s="6">
        <f t="shared" si="45"/>
        <v>0</v>
      </c>
      <c r="Y93" s="9">
        <v>0</v>
      </c>
      <c r="Z93" s="6">
        <f>Z92</f>
        <v>65.569999999999993</v>
      </c>
      <c r="AA93" s="6">
        <f t="shared" si="31"/>
        <v>65.569999999999993</v>
      </c>
      <c r="AB93" s="10"/>
    </row>
    <row r="94" spans="1:28">
      <c r="A94" s="3" t="s">
        <v>94</v>
      </c>
      <c r="B94" s="5">
        <f t="shared" si="30"/>
        <v>117.54655426637095</v>
      </c>
      <c r="C94" s="9">
        <v>0.13813470292984709</v>
      </c>
      <c r="D94" s="5">
        <f t="shared" si="35"/>
        <v>32.073502089412862</v>
      </c>
      <c r="E94" s="9">
        <v>3.7691140422551651E-2</v>
      </c>
      <c r="F94" s="5">
        <f t="shared" si="36"/>
        <v>103.20337154196334</v>
      </c>
      <c r="G94" s="9">
        <v>0.12127932765262052</v>
      </c>
      <c r="H94" s="5">
        <f t="shared" si="37"/>
        <v>84.449958118361138</v>
      </c>
      <c r="I94" s="9">
        <v>9.9241274658573589E-2</v>
      </c>
      <c r="J94" s="5">
        <f t="shared" si="38"/>
        <v>0</v>
      </c>
      <c r="K94" s="9">
        <v>0</v>
      </c>
      <c r="L94" s="5">
        <f t="shared" si="39"/>
        <v>58.515020380529933</v>
      </c>
      <c r="M94" s="9">
        <v>6.8763861328352979E-2</v>
      </c>
      <c r="N94" s="5">
        <f t="shared" si="40"/>
        <v>79.066298120695663</v>
      </c>
      <c r="O94" s="9">
        <v>9.2914672580833413E-2</v>
      </c>
      <c r="P94" s="5">
        <f t="shared" si="41"/>
        <v>202.32429980156411</v>
      </c>
      <c r="Q94" s="9">
        <v>0.23776117660791407</v>
      </c>
      <c r="R94" s="5">
        <f t="shared" si="42"/>
        <v>27.196422645033262</v>
      </c>
      <c r="S94" s="9">
        <v>3.1959845920392201E-2</v>
      </c>
      <c r="T94" s="5">
        <f t="shared" si="43"/>
        <v>0</v>
      </c>
      <c r="U94" s="9">
        <v>0</v>
      </c>
      <c r="V94" s="5">
        <f t="shared" si="44"/>
        <v>23.829151908486047</v>
      </c>
      <c r="W94" s="9">
        <v>2.8002801447414495E-2</v>
      </c>
      <c r="X94" s="5">
        <f t="shared" si="45"/>
        <v>122.75142112758255</v>
      </c>
      <c r="Y94" s="9">
        <v>0.14425119645149992</v>
      </c>
      <c r="Z94" s="5">
        <v>850.9559999999999</v>
      </c>
      <c r="AA94" s="5">
        <f t="shared" si="31"/>
        <v>850.9559999999999</v>
      </c>
      <c r="AB94" s="10"/>
    </row>
    <row r="95" spans="1:28">
      <c r="A95" s="3" t="s">
        <v>95</v>
      </c>
      <c r="B95" s="5">
        <v>116.66</v>
      </c>
      <c r="C95" s="9">
        <v>7.8492935635792779E-2</v>
      </c>
      <c r="D95" s="5">
        <v>116.66</v>
      </c>
      <c r="E95" s="9">
        <v>8.1660811961901003E-2</v>
      </c>
      <c r="F95" s="5">
        <v>116.66</v>
      </c>
      <c r="G95" s="9">
        <v>0.10208305467754539</v>
      </c>
      <c r="H95" s="5">
        <v>116.66</v>
      </c>
      <c r="I95" s="9">
        <v>8.1660811961901003E-2</v>
      </c>
      <c r="J95" s="5">
        <v>116.66</v>
      </c>
      <c r="K95" s="9">
        <v>8.1660811961901003E-2</v>
      </c>
      <c r="L95" s="5">
        <v>116.66</v>
      </c>
      <c r="M95" s="9">
        <v>8.1660811961901003E-2</v>
      </c>
      <c r="N95" s="5">
        <v>116.66</v>
      </c>
      <c r="O95" s="9">
        <v>8.1660811961901003E-2</v>
      </c>
      <c r="P95" s="5">
        <v>116.66</v>
      </c>
      <c r="Q95" s="9">
        <v>8.1660811961901003E-2</v>
      </c>
      <c r="R95" s="5">
        <v>116.66</v>
      </c>
      <c r="S95" s="9">
        <v>8.1660811961901003E-2</v>
      </c>
      <c r="T95" s="5">
        <v>116.66</v>
      </c>
      <c r="U95" s="9">
        <v>8.1660811961901003E-2</v>
      </c>
      <c r="V95" s="5">
        <v>116.66</v>
      </c>
      <c r="W95" s="9">
        <v>8.1660811961901003E-2</v>
      </c>
      <c r="X95" s="5">
        <v>116.74</v>
      </c>
      <c r="Y95" s="9">
        <v>8.4476702029552764E-2</v>
      </c>
      <c r="Z95" s="5">
        <v>1400</v>
      </c>
      <c r="AA95" s="5">
        <f t="shared" si="31"/>
        <v>1400</v>
      </c>
      <c r="AB95" s="10"/>
    </row>
    <row r="96" spans="1:28">
      <c r="A96" s="3" t="s">
        <v>96</v>
      </c>
      <c r="B96" s="5">
        <f>(B110*0.0765)+125</f>
        <v>1093.9994899999997</v>
      </c>
      <c r="C96" s="5">
        <f t="shared" ref="C96:X96" si="46">(C110*0.0765)+125</f>
        <v>125.01036406644239</v>
      </c>
      <c r="D96" s="5">
        <f t="shared" si="46"/>
        <v>1093.9994899999997</v>
      </c>
      <c r="E96" s="5">
        <f t="shared" si="46"/>
        <v>125.01197256097561</v>
      </c>
      <c r="F96" s="5">
        <f t="shared" si="46"/>
        <v>1093.9994899999997</v>
      </c>
      <c r="G96" s="5">
        <f t="shared" si="46"/>
        <v>125.01229425988225</v>
      </c>
      <c r="H96" s="5">
        <f t="shared" si="46"/>
        <v>1093.9994899999997</v>
      </c>
      <c r="I96" s="5">
        <f t="shared" si="46"/>
        <v>125.011264823381</v>
      </c>
      <c r="J96" s="5">
        <f t="shared" si="46"/>
        <v>1093.9994899999997</v>
      </c>
      <c r="K96" s="5">
        <f t="shared" si="46"/>
        <v>125.01319501682086</v>
      </c>
      <c r="L96" s="5">
        <f t="shared" si="46"/>
        <v>1093.9994899999997</v>
      </c>
      <c r="M96" s="5">
        <f t="shared" si="46"/>
        <v>125.01248727922624</v>
      </c>
      <c r="N96" s="5">
        <f t="shared" si="46"/>
        <v>1093.9994899999997</v>
      </c>
      <c r="O96" s="5">
        <f t="shared" si="46"/>
        <v>125.01120048359967</v>
      </c>
      <c r="P96" s="5">
        <f t="shared" si="46"/>
        <v>1093.9994899999997</v>
      </c>
      <c r="Q96" s="5">
        <f t="shared" si="46"/>
        <v>125.01306633725819</v>
      </c>
      <c r="R96" s="5">
        <f t="shared" si="46"/>
        <v>1093.9994899999997</v>
      </c>
      <c r="S96" s="5">
        <f t="shared" si="46"/>
        <v>125.01203690075694</v>
      </c>
      <c r="T96" s="5">
        <f t="shared" si="46"/>
        <v>1093.9994899999997</v>
      </c>
      <c r="U96" s="5">
        <f t="shared" si="46"/>
        <v>125.01197256097561</v>
      </c>
      <c r="V96" s="5">
        <f t="shared" si="46"/>
        <v>1093.9994899999997</v>
      </c>
      <c r="W96" s="5">
        <f t="shared" si="46"/>
        <v>125.01300199747688</v>
      </c>
      <c r="X96" s="5">
        <f t="shared" si="46"/>
        <v>1093.9994899999997</v>
      </c>
      <c r="Y96" s="9">
        <v>0.10357197264115593</v>
      </c>
      <c r="Z96" s="5">
        <v>13127.993879999998</v>
      </c>
      <c r="AA96" s="5">
        <f t="shared" si="31"/>
        <v>13127.99388</v>
      </c>
      <c r="AB96" s="10"/>
    </row>
    <row r="97" spans="1:28">
      <c r="A97" s="3" t="s">
        <v>97</v>
      </c>
      <c r="B97" s="5">
        <f t="shared" si="30"/>
        <v>0</v>
      </c>
      <c r="C97" s="9">
        <v>0</v>
      </c>
      <c r="D97" s="5">
        <f t="shared" si="35"/>
        <v>0</v>
      </c>
      <c r="E97" s="9">
        <v>0</v>
      </c>
      <c r="F97" s="5">
        <f t="shared" si="36"/>
        <v>0</v>
      </c>
      <c r="G97" s="9">
        <v>0</v>
      </c>
      <c r="H97" s="5">
        <f t="shared" si="37"/>
        <v>0</v>
      </c>
      <c r="I97" s="9">
        <v>0</v>
      </c>
      <c r="J97" s="5">
        <f t="shared" si="38"/>
        <v>0</v>
      </c>
      <c r="K97" s="9">
        <v>0</v>
      </c>
      <c r="L97" s="5">
        <f t="shared" si="39"/>
        <v>297.23450645721061</v>
      </c>
      <c r="M97" s="9">
        <v>0.23014887204310894</v>
      </c>
      <c r="N97" s="5">
        <f t="shared" si="40"/>
        <v>282.50194172983828</v>
      </c>
      <c r="O97" s="9">
        <v>0.21874143757420766</v>
      </c>
      <c r="P97" s="5">
        <f t="shared" si="41"/>
        <v>282.50194172983828</v>
      </c>
      <c r="Q97" s="9">
        <v>0.21874143757420766</v>
      </c>
      <c r="R97" s="5">
        <f t="shared" si="42"/>
        <v>337.23300684994058</v>
      </c>
      <c r="S97" s="9">
        <v>0.26111973696227964</v>
      </c>
      <c r="T97" s="5">
        <f t="shared" si="43"/>
        <v>70.006222303406688</v>
      </c>
      <c r="U97" s="9">
        <v>5.4205863549182567E-2</v>
      </c>
      <c r="V97" s="5">
        <f t="shared" si="44"/>
        <v>0</v>
      </c>
      <c r="W97" s="9">
        <v>0</v>
      </c>
      <c r="X97" s="5">
        <f t="shared" si="45"/>
        <v>22.010380929765272</v>
      </c>
      <c r="Y97" s="9">
        <v>1.7042652297013426E-2</v>
      </c>
      <c r="Z97" s="5">
        <v>1291.4879999999998</v>
      </c>
      <c r="AA97" s="5">
        <f t="shared" si="31"/>
        <v>1291.4879999999996</v>
      </c>
      <c r="AB97" s="10"/>
    </row>
    <row r="98" spans="1:28">
      <c r="A98" s="3" t="s">
        <v>98</v>
      </c>
      <c r="B98" s="5">
        <f t="shared" si="30"/>
        <v>776.46</v>
      </c>
      <c r="C98" s="9">
        <v>8.3333333333333329E-2</v>
      </c>
      <c r="D98" s="5">
        <f t="shared" si="35"/>
        <v>776.46</v>
      </c>
      <c r="E98" s="9">
        <v>8.3333333333333329E-2</v>
      </c>
      <c r="F98" s="5">
        <f t="shared" si="36"/>
        <v>776.46</v>
      </c>
      <c r="G98" s="9">
        <v>8.3333333333333329E-2</v>
      </c>
      <c r="H98" s="5">
        <f t="shared" si="37"/>
        <v>776.46</v>
      </c>
      <c r="I98" s="9">
        <v>8.3333333333333329E-2</v>
      </c>
      <c r="J98" s="5">
        <f t="shared" si="38"/>
        <v>776.46</v>
      </c>
      <c r="K98" s="9">
        <v>8.3333333333333329E-2</v>
      </c>
      <c r="L98" s="5">
        <f t="shared" si="39"/>
        <v>776.46</v>
      </c>
      <c r="M98" s="9">
        <v>8.3333333333333329E-2</v>
      </c>
      <c r="N98" s="5">
        <f t="shared" si="40"/>
        <v>776.46</v>
      </c>
      <c r="O98" s="9">
        <v>8.3333333333333329E-2</v>
      </c>
      <c r="P98" s="5">
        <f t="shared" si="41"/>
        <v>776.46</v>
      </c>
      <c r="Q98" s="9">
        <v>8.3333333333333329E-2</v>
      </c>
      <c r="R98" s="5">
        <f t="shared" si="42"/>
        <v>776.46</v>
      </c>
      <c r="S98" s="9">
        <v>8.3333333333333329E-2</v>
      </c>
      <c r="T98" s="5">
        <f t="shared" si="43"/>
        <v>776.46</v>
      </c>
      <c r="U98" s="9">
        <v>8.3333333333333329E-2</v>
      </c>
      <c r="V98" s="5">
        <f t="shared" si="44"/>
        <v>776.46</v>
      </c>
      <c r="W98" s="9">
        <v>8.3333333333333329E-2</v>
      </c>
      <c r="X98" s="5">
        <f t="shared" si="45"/>
        <v>776.46</v>
      </c>
      <c r="Y98" s="9">
        <v>8.3333333333333329E-2</v>
      </c>
      <c r="Z98" s="5">
        <v>9317.52</v>
      </c>
      <c r="AA98" s="5">
        <f t="shared" si="31"/>
        <v>9317.52</v>
      </c>
      <c r="AB98" s="10"/>
    </row>
    <row r="99" spans="1:28">
      <c r="A99" s="3" t="s">
        <v>99</v>
      </c>
      <c r="B99" s="5">
        <f t="shared" si="30"/>
        <v>0</v>
      </c>
      <c r="C99" s="9">
        <v>0</v>
      </c>
      <c r="D99" s="5">
        <f t="shared" si="35"/>
        <v>0</v>
      </c>
      <c r="E99" s="9">
        <v>0</v>
      </c>
      <c r="F99" s="5">
        <f t="shared" si="36"/>
        <v>0</v>
      </c>
      <c r="G99" s="9">
        <v>0</v>
      </c>
      <c r="H99" s="5">
        <f t="shared" si="37"/>
        <v>473.33333333333331</v>
      </c>
      <c r="I99" s="9">
        <v>0.1111111111111111</v>
      </c>
      <c r="J99" s="5">
        <f t="shared" si="38"/>
        <v>473.33333333333331</v>
      </c>
      <c r="K99" s="9">
        <v>0.1111111111111111</v>
      </c>
      <c r="L99" s="5">
        <f t="shared" si="39"/>
        <v>473.33333333333331</v>
      </c>
      <c r="M99" s="9">
        <v>0.1111111111111111</v>
      </c>
      <c r="N99" s="5">
        <f t="shared" si="40"/>
        <v>473.33333333333331</v>
      </c>
      <c r="O99" s="9">
        <v>0.1111111111111111</v>
      </c>
      <c r="P99" s="5">
        <f t="shared" si="41"/>
        <v>473.33333333333331</v>
      </c>
      <c r="Q99" s="9">
        <v>0.1111111111111111</v>
      </c>
      <c r="R99" s="5">
        <f t="shared" si="42"/>
        <v>473.33333333333331</v>
      </c>
      <c r="S99" s="9">
        <v>0.1111111111111111</v>
      </c>
      <c r="T99" s="5">
        <f t="shared" si="43"/>
        <v>473.33333333333331</v>
      </c>
      <c r="U99" s="9">
        <v>0.1111111111111111</v>
      </c>
      <c r="V99" s="5">
        <f t="shared" si="44"/>
        <v>473.33333333333331</v>
      </c>
      <c r="W99" s="9">
        <v>0.1111111111111111</v>
      </c>
      <c r="X99" s="5">
        <f t="shared" si="45"/>
        <v>473.33333333333331</v>
      </c>
      <c r="Y99" s="9">
        <v>0.1111111111111111</v>
      </c>
      <c r="Z99" s="5">
        <v>4260</v>
      </c>
      <c r="AA99" s="5">
        <f t="shared" si="31"/>
        <v>4260</v>
      </c>
      <c r="AB99" s="10"/>
    </row>
    <row r="100" spans="1:28">
      <c r="A100" s="3" t="s">
        <v>100</v>
      </c>
      <c r="B100" s="5"/>
      <c r="C100" s="9"/>
      <c r="D100" s="5"/>
      <c r="E100" s="9"/>
      <c r="F100" s="5"/>
      <c r="G100" s="9"/>
      <c r="H100" s="5"/>
      <c r="I100" s="9"/>
      <c r="J100" s="5"/>
      <c r="K100" s="9"/>
      <c r="L100" s="5"/>
      <c r="M100" s="9"/>
      <c r="N100" s="5"/>
      <c r="O100" s="9"/>
      <c r="P100" s="5"/>
      <c r="Q100" s="9"/>
      <c r="R100" s="5"/>
      <c r="S100" s="9"/>
      <c r="T100" s="5"/>
      <c r="U100" s="9"/>
      <c r="V100" s="5"/>
      <c r="W100" s="9"/>
      <c r="X100" s="5">
        <f t="shared" si="45"/>
        <v>0</v>
      </c>
      <c r="Y100" s="9"/>
      <c r="Z100" s="5"/>
      <c r="AA100" s="5">
        <f t="shared" si="31"/>
        <v>0</v>
      </c>
      <c r="AB100" s="10"/>
    </row>
    <row r="101" spans="1:28">
      <c r="A101" s="3" t="s">
        <v>101</v>
      </c>
      <c r="B101" s="5">
        <f t="shared" si="30"/>
        <v>728.66848082127979</v>
      </c>
      <c r="C101" s="9">
        <v>6.0250910030782437E-2</v>
      </c>
      <c r="D101" s="5">
        <f t="shared" si="35"/>
        <v>1061.1692129951794</v>
      </c>
      <c r="E101" s="9">
        <v>8.7744169622303747E-2</v>
      </c>
      <c r="F101" s="5">
        <f t="shared" si="36"/>
        <v>730.21572522818872</v>
      </c>
      <c r="G101" s="9">
        <v>6.0378845965998448E-2</v>
      </c>
      <c r="H101" s="5">
        <f t="shared" si="37"/>
        <v>3259.5107932978872</v>
      </c>
      <c r="I101" s="9">
        <v>0.26951692946840033</v>
      </c>
      <c r="J101" s="5">
        <f t="shared" si="38"/>
        <v>782.97885037460196</v>
      </c>
      <c r="K101" s="9">
        <v>6.4741634243263291E-2</v>
      </c>
      <c r="L101" s="5">
        <f t="shared" si="39"/>
        <v>948.13673645802476</v>
      </c>
      <c r="M101" s="9">
        <v>7.8397930895577492E-2</v>
      </c>
      <c r="N101" s="5">
        <f t="shared" si="40"/>
        <v>689.98737064855766</v>
      </c>
      <c r="O101" s="9">
        <v>5.705251165038222E-2</v>
      </c>
      <c r="P101" s="5">
        <f t="shared" si="41"/>
        <v>747.49677255670485</v>
      </c>
      <c r="Q101" s="9">
        <v>6.1807752053242113E-2</v>
      </c>
      <c r="R101" s="5">
        <f t="shared" si="42"/>
        <v>835.29243829468339</v>
      </c>
      <c r="S101" s="9">
        <v>6.9067251944755895E-2</v>
      </c>
      <c r="T101" s="5">
        <f t="shared" si="43"/>
        <v>752.70304089887122</v>
      </c>
      <c r="U101" s="9">
        <v>6.2238239186604087E-2</v>
      </c>
      <c r="V101" s="5">
        <f t="shared" si="44"/>
        <v>832.16658641856338</v>
      </c>
      <c r="W101" s="9">
        <v>6.8808786778339764E-2</v>
      </c>
      <c r="X101" s="5">
        <f t="shared" si="45"/>
        <v>725.57399200746192</v>
      </c>
      <c r="Y101" s="9">
        <v>5.9995038160350414E-2</v>
      </c>
      <c r="Z101" s="5">
        <v>12093.900000000001</v>
      </c>
      <c r="AA101" s="5">
        <f t="shared" si="31"/>
        <v>12093.900000000003</v>
      </c>
      <c r="AB101" s="10"/>
    </row>
    <row r="102" spans="1:28">
      <c r="A102" s="3" t="s">
        <v>102</v>
      </c>
      <c r="B102" s="5">
        <f t="shared" si="30"/>
        <v>314.12681962648099</v>
      </c>
      <c r="C102" s="9">
        <v>0.10293192315416026</v>
      </c>
      <c r="D102" s="5">
        <f t="shared" si="35"/>
        <v>0</v>
      </c>
      <c r="E102" s="9">
        <v>0</v>
      </c>
      <c r="F102" s="5">
        <f t="shared" si="36"/>
        <v>314.1063912711694</v>
      </c>
      <c r="G102" s="9">
        <v>0.10292522926568044</v>
      </c>
      <c r="H102" s="5">
        <f t="shared" si="37"/>
        <v>314.1063912711694</v>
      </c>
      <c r="I102" s="9">
        <v>0.10292522926568044</v>
      </c>
      <c r="J102" s="5">
        <f t="shared" si="38"/>
        <v>314.1063912711694</v>
      </c>
      <c r="K102" s="9">
        <v>0.10292522926568044</v>
      </c>
      <c r="L102" s="5">
        <f t="shared" si="39"/>
        <v>314.02467784992297</v>
      </c>
      <c r="M102" s="9">
        <v>0.10289845371176116</v>
      </c>
      <c r="N102" s="5">
        <f t="shared" si="40"/>
        <v>314.02467784992297</v>
      </c>
      <c r="O102" s="9">
        <v>0.10289845371176116</v>
      </c>
      <c r="P102" s="5">
        <f t="shared" si="41"/>
        <v>314.02467784992297</v>
      </c>
      <c r="Q102" s="9">
        <v>0.10289845371176116</v>
      </c>
      <c r="R102" s="5">
        <f t="shared" si="42"/>
        <v>172.07825096726685</v>
      </c>
      <c r="S102" s="9">
        <v>5.6385969609746303E-2</v>
      </c>
      <c r="T102" s="5">
        <f t="shared" si="43"/>
        <v>227.02031257781644</v>
      </c>
      <c r="U102" s="9">
        <v>7.4389182676216623E-2</v>
      </c>
      <c r="V102" s="5">
        <f t="shared" si="44"/>
        <v>227.02031257781644</v>
      </c>
      <c r="W102" s="9">
        <v>7.4389182676216623E-2</v>
      </c>
      <c r="X102" s="5">
        <f t="shared" si="45"/>
        <v>227.15309688734183</v>
      </c>
      <c r="Y102" s="9">
        <v>7.4432692951335436E-2</v>
      </c>
      <c r="Z102" s="5">
        <v>3051.7919999999995</v>
      </c>
      <c r="AA102" s="5">
        <f t="shared" si="31"/>
        <v>3051.7919999999999</v>
      </c>
      <c r="AB102" s="10"/>
    </row>
    <row r="103" spans="1:28">
      <c r="A103" s="3" t="s">
        <v>103</v>
      </c>
      <c r="B103" s="5">
        <f t="shared" si="30"/>
        <v>604.70854012155689</v>
      </c>
      <c r="C103" s="9">
        <v>0.17553488183901667</v>
      </c>
      <c r="D103" s="5">
        <f t="shared" si="35"/>
        <v>187.03680844828634</v>
      </c>
      <c r="E103" s="9">
        <v>5.429307160755005E-2</v>
      </c>
      <c r="F103" s="5">
        <f t="shared" si="36"/>
        <v>232.7854582310967</v>
      </c>
      <c r="G103" s="9">
        <v>6.7572996234223762E-2</v>
      </c>
      <c r="H103" s="5">
        <f t="shared" si="37"/>
        <v>405.58492844447147</v>
      </c>
      <c r="I103" s="9">
        <v>0.11773325125501791</v>
      </c>
      <c r="J103" s="5">
        <f t="shared" si="38"/>
        <v>201.92129842114846</v>
      </c>
      <c r="K103" s="9">
        <v>5.8613743493703956E-2</v>
      </c>
      <c r="L103" s="5">
        <f t="shared" si="39"/>
        <v>313.16170408455224</v>
      </c>
      <c r="M103" s="9">
        <v>9.0904624419454877E-2</v>
      </c>
      <c r="N103" s="5">
        <f t="shared" si="40"/>
        <v>187.03680844828634</v>
      </c>
      <c r="O103" s="9">
        <v>5.429307160755005E-2</v>
      </c>
      <c r="P103" s="5">
        <f t="shared" si="41"/>
        <v>201.92129842114846</v>
      </c>
      <c r="Q103" s="9">
        <v>5.8613743493703956E-2</v>
      </c>
      <c r="R103" s="5">
        <f t="shared" si="42"/>
        <v>322.13222279060494</v>
      </c>
      <c r="S103" s="9">
        <v>9.3508587877264016E-2</v>
      </c>
      <c r="T103" s="5">
        <f t="shared" si="43"/>
        <v>201.92129842114846</v>
      </c>
      <c r="U103" s="9">
        <v>5.8613743493703956E-2</v>
      </c>
      <c r="V103" s="5">
        <f t="shared" si="44"/>
        <v>187.03680844828634</v>
      </c>
      <c r="W103" s="9">
        <v>5.429307160755005E-2</v>
      </c>
      <c r="X103" s="5">
        <f t="shared" si="45"/>
        <v>399.70082571941356</v>
      </c>
      <c r="Y103" s="9">
        <v>0.11602521307126074</v>
      </c>
      <c r="Z103" s="5">
        <v>3444.9480000000003</v>
      </c>
      <c r="AA103" s="5">
        <f t="shared" si="31"/>
        <v>3444.9479999999999</v>
      </c>
      <c r="AB103" s="10"/>
    </row>
    <row r="104" spans="1:28">
      <c r="A104" s="3" t="s">
        <v>104</v>
      </c>
      <c r="B104" s="5">
        <f t="shared" si="30"/>
        <v>58.285714285714285</v>
      </c>
      <c r="C104" s="9">
        <v>0.11428571428571428</v>
      </c>
      <c r="D104" s="5">
        <f t="shared" si="35"/>
        <v>0</v>
      </c>
      <c r="E104" s="9">
        <v>0</v>
      </c>
      <c r="F104" s="5">
        <f t="shared" si="36"/>
        <v>174.85714285714286</v>
      </c>
      <c r="G104" s="9">
        <v>0.34285714285714286</v>
      </c>
      <c r="H104" s="5">
        <f t="shared" si="37"/>
        <v>0</v>
      </c>
      <c r="I104" s="9">
        <v>0</v>
      </c>
      <c r="J104" s="5">
        <f t="shared" si="38"/>
        <v>0</v>
      </c>
      <c r="K104" s="9">
        <v>0</v>
      </c>
      <c r="L104" s="5">
        <f t="shared" si="39"/>
        <v>14.571428571428571</v>
      </c>
      <c r="M104" s="9">
        <v>2.8571428571428571E-2</v>
      </c>
      <c r="N104" s="5">
        <f t="shared" si="40"/>
        <v>0</v>
      </c>
      <c r="O104" s="9">
        <v>0</v>
      </c>
      <c r="P104" s="5">
        <f t="shared" si="41"/>
        <v>0</v>
      </c>
      <c r="Q104" s="9">
        <v>0</v>
      </c>
      <c r="R104" s="5">
        <f t="shared" si="42"/>
        <v>0</v>
      </c>
      <c r="S104" s="9">
        <v>0</v>
      </c>
      <c r="T104" s="5">
        <f t="shared" si="43"/>
        <v>0</v>
      </c>
      <c r="U104" s="9">
        <v>0</v>
      </c>
      <c r="V104" s="5">
        <f t="shared" si="44"/>
        <v>262.28571428571428</v>
      </c>
      <c r="W104" s="9">
        <v>0.51428571428571423</v>
      </c>
      <c r="X104" s="5">
        <f t="shared" si="45"/>
        <v>0</v>
      </c>
      <c r="Y104" s="9">
        <v>0</v>
      </c>
      <c r="Z104" s="5">
        <v>510</v>
      </c>
      <c r="AA104" s="5">
        <f t="shared" si="31"/>
        <v>510</v>
      </c>
      <c r="AB104" s="10"/>
    </row>
    <row r="105" spans="1:28">
      <c r="A105" s="3" t="s">
        <v>105</v>
      </c>
      <c r="B105" s="6">
        <f>SUM(B101:B104)</f>
        <v>1705.7895548550318</v>
      </c>
      <c r="C105" s="6">
        <f t="shared" ref="C105:X105" si="47">SUM(C101:C104)</f>
        <v>0.45300342930967363</v>
      </c>
      <c r="D105" s="6">
        <f t="shared" si="47"/>
        <v>1248.2060214434657</v>
      </c>
      <c r="E105" s="6">
        <f t="shared" si="47"/>
        <v>0.14203724122985378</v>
      </c>
      <c r="F105" s="6">
        <f t="shared" si="47"/>
        <v>1451.9647175875978</v>
      </c>
      <c r="G105" s="6">
        <f t="shared" si="47"/>
        <v>0.5737342143230455</v>
      </c>
      <c r="H105" s="6">
        <f t="shared" si="47"/>
        <v>3979.2021130135281</v>
      </c>
      <c r="I105" s="6">
        <f t="shared" si="47"/>
        <v>0.4901754099890987</v>
      </c>
      <c r="J105" s="6">
        <f t="shared" si="47"/>
        <v>1299.00654006692</v>
      </c>
      <c r="K105" s="6">
        <f t="shared" si="47"/>
        <v>0.22628060700264768</v>
      </c>
      <c r="L105" s="6">
        <f t="shared" si="47"/>
        <v>1589.8945469639286</v>
      </c>
      <c r="M105" s="6">
        <f t="shared" si="47"/>
        <v>0.30077243759822214</v>
      </c>
      <c r="N105" s="6">
        <f t="shared" si="47"/>
        <v>1191.048856946767</v>
      </c>
      <c r="O105" s="6">
        <f t="shared" si="47"/>
        <v>0.21424403696969341</v>
      </c>
      <c r="P105" s="6">
        <f t="shared" si="47"/>
        <v>1263.4427488277763</v>
      </c>
      <c r="Q105" s="6">
        <f t="shared" si="47"/>
        <v>0.22331994925870724</v>
      </c>
      <c r="R105" s="6">
        <f t="shared" si="47"/>
        <v>1329.5029120525551</v>
      </c>
      <c r="S105" s="6">
        <f t="shared" si="47"/>
        <v>0.21896180943176621</v>
      </c>
      <c r="T105" s="6">
        <f t="shared" si="47"/>
        <v>1181.6446518978362</v>
      </c>
      <c r="U105" s="6">
        <f t="shared" si="47"/>
        <v>0.19524116535652467</v>
      </c>
      <c r="V105" s="6">
        <f t="shared" si="47"/>
        <v>1508.5094217303804</v>
      </c>
      <c r="W105" s="6">
        <f t="shared" si="47"/>
        <v>0.7117767553478207</v>
      </c>
      <c r="X105" s="6">
        <f t="shared" si="47"/>
        <v>1352.4279146142173</v>
      </c>
      <c r="Y105" s="9">
        <v>6.9762111459303791E-2</v>
      </c>
      <c r="Z105" s="6">
        <f>SUM(Z101:Z104)</f>
        <v>19100.64</v>
      </c>
      <c r="AA105" s="6">
        <f t="shared" si="31"/>
        <v>19100.640000000003</v>
      </c>
      <c r="AB105" s="10"/>
    </row>
    <row r="106" spans="1:28">
      <c r="A106" s="3" t="s">
        <v>106</v>
      </c>
      <c r="B106" s="5">
        <f t="shared" si="30"/>
        <v>108.36000000000003</v>
      </c>
      <c r="C106" s="9">
        <v>8.3333333333333356E-2</v>
      </c>
      <c r="D106" s="5">
        <f t="shared" si="35"/>
        <v>108.36000000000003</v>
      </c>
      <c r="E106" s="9">
        <v>8.3333333333333356E-2</v>
      </c>
      <c r="F106" s="5">
        <f t="shared" si="36"/>
        <v>108.36000000000003</v>
      </c>
      <c r="G106" s="9">
        <v>8.3333333333333356E-2</v>
      </c>
      <c r="H106" s="5">
        <f t="shared" si="37"/>
        <v>108.36000000000003</v>
      </c>
      <c r="I106" s="9">
        <v>8.3333333333333356E-2</v>
      </c>
      <c r="J106" s="5">
        <f t="shared" si="38"/>
        <v>108.36000000000003</v>
      </c>
      <c r="K106" s="9">
        <v>8.3333333333333356E-2</v>
      </c>
      <c r="L106" s="5">
        <f t="shared" si="39"/>
        <v>108.36000000000003</v>
      </c>
      <c r="M106" s="9">
        <v>8.3333333333333356E-2</v>
      </c>
      <c r="N106" s="5">
        <f t="shared" si="40"/>
        <v>108.36000000000003</v>
      </c>
      <c r="O106" s="9">
        <v>8.3333333333333356E-2</v>
      </c>
      <c r="P106" s="5">
        <f t="shared" si="41"/>
        <v>108.36000000000003</v>
      </c>
      <c r="Q106" s="9">
        <v>8.3333333333333356E-2</v>
      </c>
      <c r="R106" s="5">
        <f t="shared" si="42"/>
        <v>108.36000000000003</v>
      </c>
      <c r="S106" s="9">
        <v>8.3333333333333356E-2</v>
      </c>
      <c r="T106" s="5">
        <f t="shared" si="43"/>
        <v>108.36000000000003</v>
      </c>
      <c r="U106" s="9">
        <v>8.3333333333333356E-2</v>
      </c>
      <c r="V106" s="5">
        <f t="shared" si="44"/>
        <v>108.36000000000003</v>
      </c>
      <c r="W106" s="9">
        <v>8.3333333333333356E-2</v>
      </c>
      <c r="X106" s="5">
        <f t="shared" si="45"/>
        <v>108.36000000000003</v>
      </c>
      <c r="Y106" s="9">
        <v>8.3333333333333356E-2</v>
      </c>
      <c r="Z106" s="5">
        <v>1300.32</v>
      </c>
      <c r="AA106" s="5">
        <f t="shared" si="31"/>
        <v>1300.3200000000006</v>
      </c>
      <c r="AB106" s="10"/>
    </row>
    <row r="107" spans="1:28">
      <c r="A107" s="3" t="s">
        <v>107</v>
      </c>
      <c r="B107" s="5"/>
      <c r="C107" s="9"/>
      <c r="D107" s="5"/>
      <c r="E107" s="9"/>
      <c r="F107" s="5"/>
      <c r="G107" s="9"/>
      <c r="H107" s="5"/>
      <c r="I107" s="9"/>
      <c r="J107" s="5"/>
      <c r="K107" s="9"/>
      <c r="L107" s="5"/>
      <c r="M107" s="9"/>
      <c r="N107" s="5"/>
      <c r="O107" s="9"/>
      <c r="P107" s="5"/>
      <c r="Q107" s="9"/>
      <c r="R107" s="5"/>
      <c r="S107" s="9"/>
      <c r="T107" s="5"/>
      <c r="U107" s="9"/>
      <c r="V107" s="5"/>
      <c r="W107" s="9"/>
      <c r="X107" s="5"/>
      <c r="Y107" s="9"/>
      <c r="Z107" s="5"/>
      <c r="AA107" s="5"/>
      <c r="AB107" s="10"/>
    </row>
    <row r="108" spans="1:28">
      <c r="A108" s="3" t="s">
        <v>108</v>
      </c>
      <c r="B108" s="5">
        <v>5000</v>
      </c>
      <c r="C108" s="9">
        <v>5.2144659377628258E-2</v>
      </c>
      <c r="D108" s="5">
        <v>5000</v>
      </c>
      <c r="E108" s="9">
        <v>7.3170731707317069E-2</v>
      </c>
      <c r="F108" s="5">
        <v>5000</v>
      </c>
      <c r="G108" s="9">
        <v>7.7375946173254842E-2</v>
      </c>
      <c r="H108" s="5">
        <v>5000</v>
      </c>
      <c r="I108" s="9">
        <v>6.3919259882253998E-2</v>
      </c>
      <c r="J108" s="5">
        <v>5000</v>
      </c>
      <c r="K108" s="9">
        <v>8.9150546677880568E-2</v>
      </c>
      <c r="L108" s="5">
        <v>5000</v>
      </c>
      <c r="M108" s="9">
        <v>7.9899074852817498E-2</v>
      </c>
      <c r="N108" s="5">
        <v>5000</v>
      </c>
      <c r="O108" s="9">
        <v>6.3078216989066446E-2</v>
      </c>
      <c r="P108" s="5">
        <v>5000</v>
      </c>
      <c r="Q108" s="9">
        <v>8.7468460891505465E-2</v>
      </c>
      <c r="R108" s="5">
        <v>5000</v>
      </c>
      <c r="S108" s="9">
        <v>7.4011774600504621E-2</v>
      </c>
      <c r="T108" s="5">
        <v>5000</v>
      </c>
      <c r="U108" s="9">
        <v>7.3170731707317069E-2</v>
      </c>
      <c r="V108" s="5">
        <v>5000</v>
      </c>
      <c r="W108" s="9">
        <v>8.6627417998317913E-2</v>
      </c>
      <c r="X108" s="5">
        <v>5000</v>
      </c>
      <c r="Y108" s="9">
        <v>0.17998317914213624</v>
      </c>
      <c r="Z108" s="5">
        <v>60000</v>
      </c>
      <c r="AA108" s="5">
        <f>B108+D108+F108+H108+J108+L108+N108+P108+R108+T108+V108+X108</f>
        <v>60000</v>
      </c>
      <c r="AB108" s="10"/>
    </row>
    <row r="109" spans="1:28">
      <c r="A109" s="3" t="s">
        <v>109</v>
      </c>
      <c r="B109" s="5">
        <f t="shared" si="30"/>
        <v>7666.6599999999971</v>
      </c>
      <c r="C109" s="9">
        <v>8.3333333333333301E-2</v>
      </c>
      <c r="D109" s="5">
        <f t="shared" si="35"/>
        <v>7666.6599999999971</v>
      </c>
      <c r="E109" s="9">
        <v>8.3333333333333301E-2</v>
      </c>
      <c r="F109" s="5">
        <f t="shared" si="36"/>
        <v>7666.6599999999971</v>
      </c>
      <c r="G109" s="9">
        <v>8.3333333333333301E-2</v>
      </c>
      <c r="H109" s="5">
        <f t="shared" si="37"/>
        <v>7666.6599999999971</v>
      </c>
      <c r="I109" s="9">
        <v>8.3333333333333301E-2</v>
      </c>
      <c r="J109" s="5">
        <f t="shared" si="38"/>
        <v>7666.6599999999971</v>
      </c>
      <c r="K109" s="9">
        <v>8.3333333333333301E-2</v>
      </c>
      <c r="L109" s="5">
        <f t="shared" si="39"/>
        <v>7666.6599999999971</v>
      </c>
      <c r="M109" s="9">
        <v>8.3333333333333301E-2</v>
      </c>
      <c r="N109" s="5">
        <f t="shared" si="40"/>
        <v>7666.6599999999971</v>
      </c>
      <c r="O109" s="9">
        <v>8.3333333333333301E-2</v>
      </c>
      <c r="P109" s="5">
        <f t="shared" si="41"/>
        <v>7666.6599999999971</v>
      </c>
      <c r="Q109" s="9">
        <v>8.3333333333333301E-2</v>
      </c>
      <c r="R109" s="5">
        <f t="shared" si="42"/>
        <v>7666.6599999999971</v>
      </c>
      <c r="S109" s="9">
        <v>8.3333333333333301E-2</v>
      </c>
      <c r="T109" s="5">
        <f t="shared" si="43"/>
        <v>7666.6599999999971</v>
      </c>
      <c r="U109" s="9">
        <v>8.3333333333333301E-2</v>
      </c>
      <c r="V109" s="5">
        <f t="shared" si="44"/>
        <v>7666.6599999999971</v>
      </c>
      <c r="W109" s="9">
        <v>8.3333333333333301E-2</v>
      </c>
      <c r="X109" s="5">
        <f t="shared" si="45"/>
        <v>7666.6599999999971</v>
      </c>
      <c r="Y109" s="9">
        <v>8.3333333333333301E-2</v>
      </c>
      <c r="Z109" s="5">
        <v>91999.92</v>
      </c>
      <c r="AA109" s="5">
        <f t="shared" si="31"/>
        <v>91999.919999999984</v>
      </c>
      <c r="AB109" s="10"/>
    </row>
    <row r="110" spans="1:28">
      <c r="A110" s="3" t="s">
        <v>110</v>
      </c>
      <c r="B110" s="6">
        <f>SUM(B108:B109)</f>
        <v>12666.659999999996</v>
      </c>
      <c r="C110" s="6">
        <f t="shared" ref="C110:X110" si="48">SUM(C108:C109)</f>
        <v>0.13547799271096156</v>
      </c>
      <c r="D110" s="6">
        <f t="shared" si="48"/>
        <v>12666.659999999996</v>
      </c>
      <c r="E110" s="6">
        <f t="shared" si="48"/>
        <v>0.15650406504065037</v>
      </c>
      <c r="F110" s="6">
        <f t="shared" si="48"/>
        <v>12666.659999999996</v>
      </c>
      <c r="G110" s="6">
        <f t="shared" si="48"/>
        <v>0.16070927950658814</v>
      </c>
      <c r="H110" s="6">
        <f t="shared" si="48"/>
        <v>12666.659999999996</v>
      </c>
      <c r="I110" s="6">
        <f t="shared" si="48"/>
        <v>0.14725259321558731</v>
      </c>
      <c r="J110" s="6">
        <f t="shared" si="48"/>
        <v>12666.659999999996</v>
      </c>
      <c r="K110" s="6">
        <f t="shared" si="48"/>
        <v>0.17248388001121387</v>
      </c>
      <c r="L110" s="6">
        <f t="shared" si="48"/>
        <v>12666.659999999996</v>
      </c>
      <c r="M110" s="6">
        <f t="shared" si="48"/>
        <v>0.16323240818615081</v>
      </c>
      <c r="N110" s="6">
        <f t="shared" si="48"/>
        <v>12666.659999999996</v>
      </c>
      <c r="O110" s="6">
        <f t="shared" si="48"/>
        <v>0.14641155032239975</v>
      </c>
      <c r="P110" s="6">
        <f t="shared" si="48"/>
        <v>12666.659999999996</v>
      </c>
      <c r="Q110" s="6">
        <f t="shared" si="48"/>
        <v>0.17080179422483877</v>
      </c>
      <c r="R110" s="6">
        <f t="shared" si="48"/>
        <v>12666.659999999996</v>
      </c>
      <c r="S110" s="6">
        <f t="shared" si="48"/>
        <v>0.15734510793383794</v>
      </c>
      <c r="T110" s="6">
        <f t="shared" si="48"/>
        <v>12666.659999999996</v>
      </c>
      <c r="U110" s="6">
        <f t="shared" si="48"/>
        <v>0.15650406504065037</v>
      </c>
      <c r="V110" s="6">
        <f t="shared" si="48"/>
        <v>12666.659999999996</v>
      </c>
      <c r="W110" s="6">
        <f t="shared" si="48"/>
        <v>0.16996075133165123</v>
      </c>
      <c r="X110" s="6">
        <f t="shared" si="48"/>
        <v>12666.659999999996</v>
      </c>
      <c r="Y110" s="9">
        <v>0.10318421363566323</v>
      </c>
      <c r="Z110" s="6">
        <f>SUM(Z108:Z109)</f>
        <v>151999.91999999998</v>
      </c>
      <c r="AA110" s="6">
        <f t="shared" si="31"/>
        <v>151999.91999999998</v>
      </c>
      <c r="AB110" s="10"/>
    </row>
    <row r="111" spans="1:28">
      <c r="A111" s="3" t="s">
        <v>111</v>
      </c>
      <c r="B111" s="5">
        <f t="shared" si="30"/>
        <v>165.79636363636362</v>
      </c>
      <c r="C111" s="9">
        <v>9.0909090909090898E-2</v>
      </c>
      <c r="D111" s="5">
        <f t="shared" si="35"/>
        <v>165.79636363636362</v>
      </c>
      <c r="E111" s="9">
        <v>9.0909090909090898E-2</v>
      </c>
      <c r="F111" s="5">
        <f t="shared" si="36"/>
        <v>165.79636363636362</v>
      </c>
      <c r="G111" s="9">
        <v>9.0909090909090898E-2</v>
      </c>
      <c r="H111" s="5">
        <f t="shared" si="37"/>
        <v>165.79636363636362</v>
      </c>
      <c r="I111" s="9">
        <v>9.0909090909090898E-2</v>
      </c>
      <c r="J111" s="5">
        <f t="shared" si="38"/>
        <v>165.79636363636362</v>
      </c>
      <c r="K111" s="9">
        <v>9.0909090909090898E-2</v>
      </c>
      <c r="L111" s="5">
        <f t="shared" si="39"/>
        <v>165.79636363636362</v>
      </c>
      <c r="M111" s="9">
        <v>9.0909090909090898E-2</v>
      </c>
      <c r="N111" s="5">
        <f t="shared" si="40"/>
        <v>165.79636363636362</v>
      </c>
      <c r="O111" s="9">
        <v>9.0909090909090898E-2</v>
      </c>
      <c r="P111" s="5">
        <f t="shared" si="41"/>
        <v>165.79636363636362</v>
      </c>
      <c r="Q111" s="9">
        <v>9.0909090909090898E-2</v>
      </c>
      <c r="R111" s="5">
        <f t="shared" si="42"/>
        <v>165.79636363636362</v>
      </c>
      <c r="S111" s="9">
        <v>9.0909090909090898E-2</v>
      </c>
      <c r="T111" s="5">
        <f t="shared" si="43"/>
        <v>165.79636363636362</v>
      </c>
      <c r="U111" s="9">
        <v>9.0909090909090898E-2</v>
      </c>
      <c r="V111" s="5">
        <f t="shared" si="44"/>
        <v>0</v>
      </c>
      <c r="W111" s="9">
        <v>0</v>
      </c>
      <c r="X111" s="5">
        <f t="shared" si="45"/>
        <v>165.79636363636362</v>
      </c>
      <c r="Y111" s="9">
        <v>9.0909090909090898E-2</v>
      </c>
      <c r="Z111" s="5">
        <v>1823.76</v>
      </c>
      <c r="AA111" s="5">
        <f t="shared" si="31"/>
        <v>1823.7599999999998</v>
      </c>
      <c r="AB111" s="10"/>
    </row>
    <row r="112" spans="1:28">
      <c r="A112" s="3" t="s">
        <v>112</v>
      </c>
      <c r="B112" s="6">
        <f>B80+B81+B82+B83+B84+B87+B88+B89+B90+B93+B94+B95+B96+B97+B98+B99+B105+B106+B110+B111</f>
        <v>19384.013733040298</v>
      </c>
      <c r="C112" s="6">
        <f t="shared" ref="C112:X112" si="49">C80+C81+C82+C83+C84+C87+C88+C89+C90+C93+C94+C95+C96+C97+C98+C99+C105+C106+C110+C111</f>
        <v>127.00947989217345</v>
      </c>
      <c r="D112" s="6">
        <f t="shared" si="49"/>
        <v>17318.583538614264</v>
      </c>
      <c r="E112" s="6">
        <f t="shared" si="49"/>
        <v>126.271131926763</v>
      </c>
      <c r="F112" s="6">
        <f t="shared" si="49"/>
        <v>18868.506018705433</v>
      </c>
      <c r="G112" s="6">
        <f t="shared" si="49"/>
        <v>127.17636977040218</v>
      </c>
      <c r="H112" s="6">
        <f t="shared" si="49"/>
        <v>22503.679010340707</v>
      </c>
      <c r="I112" s="6">
        <f t="shared" si="49"/>
        <v>127.16568812818612</v>
      </c>
      <c r="J112" s="6">
        <f t="shared" si="49"/>
        <v>18800.737472650209</v>
      </c>
      <c r="K112" s="6">
        <f t="shared" si="49"/>
        <v>126.71799030439615</v>
      </c>
      <c r="L112" s="6">
        <f t="shared" si="49"/>
        <v>19194.837516603555</v>
      </c>
      <c r="M112" s="6">
        <f t="shared" si="49"/>
        <v>127.83569673545843</v>
      </c>
      <c r="N112" s="6">
        <f t="shared" si="49"/>
        <v>18868.983512311068</v>
      </c>
      <c r="O112" s="6">
        <f t="shared" si="49"/>
        <v>126.54750448581949</v>
      </c>
      <c r="P112" s="6">
        <f t="shared" si="49"/>
        <v>19571.505881502653</v>
      </c>
      <c r="Q112" s="6">
        <f t="shared" si="49"/>
        <v>128.56084743023402</v>
      </c>
      <c r="R112" s="6">
        <f t="shared" si="49"/>
        <v>19041.438170184083</v>
      </c>
      <c r="S112" s="6">
        <f t="shared" si="49"/>
        <v>126.5344932049271</v>
      </c>
      <c r="T112" s="6">
        <f t="shared" si="49"/>
        <v>18688.384510558564</v>
      </c>
      <c r="U112" s="6">
        <f t="shared" si="49"/>
        <v>126.20644902928974</v>
      </c>
      <c r="V112" s="6">
        <f t="shared" si="49"/>
        <v>18377.550182358173</v>
      </c>
      <c r="W112" s="6">
        <f t="shared" si="49"/>
        <v>126.54348825456714</v>
      </c>
      <c r="X112" s="6">
        <f t="shared" si="49"/>
        <v>18875.549933130947</v>
      </c>
      <c r="Y112" s="9">
        <v>9.5216269259944544E-2</v>
      </c>
      <c r="Z112" s="6">
        <f>Z80+Z81+Z82+Z83+Z84+Z87+Z88+Z89+Z90+Z93+Z94+Z95+Z96+Z97+Z98+Z99+Z105+Z106+Z110+Z111</f>
        <v>229493.76948000002</v>
      </c>
      <c r="AA112" s="6">
        <f t="shared" si="31"/>
        <v>229493.76947999993</v>
      </c>
      <c r="AB112" s="10"/>
    </row>
    <row r="113" spans="1:28">
      <c r="A113" s="3" t="s">
        <v>113</v>
      </c>
      <c r="B113" s="6">
        <f>B77-B112</f>
        <v>15029.280424485045</v>
      </c>
      <c r="C113" s="6">
        <f t="shared" ref="C113:X113" ca="1" si="50">C77-C112</f>
        <v>15029.280424485045</v>
      </c>
      <c r="D113" s="6">
        <f t="shared" si="50"/>
        <v>19561.959841741264</v>
      </c>
      <c r="E113" s="6">
        <f t="shared" ca="1" si="50"/>
        <v>15029.280424485045</v>
      </c>
      <c r="F113" s="6">
        <f t="shared" si="50"/>
        <v>16505.635914010534</v>
      </c>
      <c r="G113" s="6">
        <f t="shared" ca="1" si="50"/>
        <v>15029.280424485045</v>
      </c>
      <c r="H113" s="6">
        <f t="shared" si="50"/>
        <v>-13842.69676400438</v>
      </c>
      <c r="I113" s="6">
        <f t="shared" ca="1" si="50"/>
        <v>15029.280424485045</v>
      </c>
      <c r="J113" s="6">
        <f t="shared" si="50"/>
        <v>11159.999152545475</v>
      </c>
      <c r="K113" s="6">
        <f t="shared" ca="1" si="50"/>
        <v>15029.280424485045</v>
      </c>
      <c r="L113" s="6">
        <f t="shared" si="50"/>
        <v>-3627.7833701713298</v>
      </c>
      <c r="M113" s="6">
        <f t="shared" ca="1" si="50"/>
        <v>15029.280424485045</v>
      </c>
      <c r="N113" s="6">
        <f t="shared" si="50"/>
        <v>-446.43725428632024</v>
      </c>
      <c r="O113" s="6">
        <f t="shared" ca="1" si="50"/>
        <v>15029.280424485045</v>
      </c>
      <c r="P113" s="6">
        <f t="shared" si="50"/>
        <v>-4486.3268067834688</v>
      </c>
      <c r="Q113" s="6">
        <f t="shared" ca="1" si="50"/>
        <v>15029.280424485045</v>
      </c>
      <c r="R113" s="6">
        <f t="shared" si="50"/>
        <v>-12439.082912870639</v>
      </c>
      <c r="S113" s="6">
        <f t="shared" ca="1" si="50"/>
        <v>15029.280424485045</v>
      </c>
      <c r="T113" s="6">
        <f t="shared" si="50"/>
        <v>-11751.066172326346</v>
      </c>
      <c r="U113" s="6">
        <f t="shared" ca="1" si="50"/>
        <v>15029.280424485045</v>
      </c>
      <c r="V113" s="6">
        <f t="shared" si="50"/>
        <v>7763.2854405093749</v>
      </c>
      <c r="W113" s="6">
        <f t="shared" ca="1" si="50"/>
        <v>15029.280424485045</v>
      </c>
      <c r="X113" s="6">
        <f t="shared" si="50"/>
        <v>-22695.17563951583</v>
      </c>
      <c r="Y113" s="9">
        <v>1.6166065661468958</v>
      </c>
      <c r="Z113" s="6">
        <f>Z77-Z112</f>
        <v>731.58851999999024</v>
      </c>
      <c r="AA113" s="6">
        <f t="shared" si="31"/>
        <v>731.59185333336791</v>
      </c>
      <c r="AB113" s="10"/>
    </row>
    <row r="114" spans="1:28">
      <c r="A114" s="3" t="s">
        <v>114</v>
      </c>
      <c r="B114" s="4"/>
      <c r="C114" s="9"/>
      <c r="D114" s="4"/>
      <c r="E114" s="9"/>
      <c r="F114" s="4"/>
      <c r="G114" s="9"/>
      <c r="H114" s="4"/>
      <c r="I114" s="9"/>
      <c r="J114" s="4"/>
      <c r="K114" s="9"/>
      <c r="L114" s="4"/>
      <c r="M114" s="9"/>
      <c r="N114" s="4"/>
      <c r="O114" s="9"/>
      <c r="P114" s="4"/>
      <c r="Q114" s="9"/>
      <c r="R114" s="4"/>
      <c r="S114" s="9"/>
      <c r="T114" s="4"/>
      <c r="U114" s="9"/>
      <c r="V114" s="4"/>
      <c r="W114" s="9"/>
      <c r="X114" s="4">
        <f t="shared" si="45"/>
        <v>0</v>
      </c>
      <c r="Y114" s="9"/>
      <c r="Z114" s="4"/>
      <c r="AA114" s="4"/>
      <c r="AB114" s="10"/>
    </row>
    <row r="115" spans="1:28">
      <c r="A115" s="3" t="s">
        <v>115</v>
      </c>
      <c r="B115" s="5">
        <f t="shared" si="30"/>
        <v>0</v>
      </c>
      <c r="C115" s="9">
        <v>0</v>
      </c>
      <c r="D115" s="5">
        <f t="shared" si="35"/>
        <v>0</v>
      </c>
      <c r="E115" s="9">
        <v>0</v>
      </c>
      <c r="F115" s="5">
        <f t="shared" si="36"/>
        <v>0</v>
      </c>
      <c r="G115" s="9">
        <v>0</v>
      </c>
      <c r="H115" s="5">
        <f t="shared" si="37"/>
        <v>2500</v>
      </c>
      <c r="I115" s="9">
        <v>1</v>
      </c>
      <c r="J115" s="5">
        <f t="shared" si="38"/>
        <v>0</v>
      </c>
      <c r="K115" s="9">
        <v>0</v>
      </c>
      <c r="L115" s="5">
        <f t="shared" si="39"/>
        <v>0</v>
      </c>
      <c r="M115" s="9">
        <v>0</v>
      </c>
      <c r="N115" s="5">
        <f t="shared" si="40"/>
        <v>0</v>
      </c>
      <c r="O115" s="9">
        <v>0</v>
      </c>
      <c r="P115" s="5">
        <f t="shared" si="41"/>
        <v>0</v>
      </c>
      <c r="Q115" s="9">
        <v>0</v>
      </c>
      <c r="R115" s="5">
        <f t="shared" si="42"/>
        <v>0</v>
      </c>
      <c r="S115" s="9">
        <v>0</v>
      </c>
      <c r="T115" s="5">
        <f t="shared" si="43"/>
        <v>0</v>
      </c>
      <c r="U115" s="9">
        <v>0</v>
      </c>
      <c r="V115" s="5">
        <f t="shared" si="44"/>
        <v>0</v>
      </c>
      <c r="W115" s="9">
        <v>0</v>
      </c>
      <c r="X115" s="5">
        <f t="shared" si="45"/>
        <v>0</v>
      </c>
      <c r="Y115" s="9">
        <v>0</v>
      </c>
      <c r="Z115" s="5">
        <v>2500</v>
      </c>
      <c r="AA115" s="5">
        <f t="shared" si="31"/>
        <v>2500</v>
      </c>
      <c r="AB115" s="10"/>
    </row>
    <row r="116" spans="1:28">
      <c r="A116" s="3" t="s">
        <v>116</v>
      </c>
      <c r="B116" s="5">
        <f t="shared" si="30"/>
        <v>7.54</v>
      </c>
      <c r="C116" s="9">
        <v>8.2639193336256037E-2</v>
      </c>
      <c r="D116" s="5">
        <f t="shared" si="35"/>
        <v>13.250000000000002</v>
      </c>
      <c r="E116" s="9">
        <v>0.14522139412538362</v>
      </c>
      <c r="F116" s="5">
        <f t="shared" si="36"/>
        <v>1.63</v>
      </c>
      <c r="G116" s="9">
        <v>1.7864971503726436E-2</v>
      </c>
      <c r="H116" s="5">
        <f t="shared" si="37"/>
        <v>7.43</v>
      </c>
      <c r="I116" s="9">
        <v>8.1433581762384924E-2</v>
      </c>
      <c r="J116" s="5">
        <f t="shared" si="38"/>
        <v>13.49</v>
      </c>
      <c r="K116" s="9">
        <v>0.14785181937746603</v>
      </c>
      <c r="L116" s="5">
        <f t="shared" si="39"/>
        <v>1.72</v>
      </c>
      <c r="M116" s="9">
        <v>1.8851380973257344E-2</v>
      </c>
      <c r="N116" s="5">
        <f t="shared" si="40"/>
        <v>13.739999999999998</v>
      </c>
      <c r="O116" s="9">
        <v>0.15059184568171854</v>
      </c>
      <c r="P116" s="5">
        <f t="shared" si="41"/>
        <v>7.87</v>
      </c>
      <c r="Q116" s="9">
        <v>8.6256028057869361E-2</v>
      </c>
      <c r="R116" s="5">
        <f t="shared" si="42"/>
        <v>2.0699999999999998</v>
      </c>
      <c r="S116" s="9">
        <v>2.2687417799210872E-2</v>
      </c>
      <c r="T116" s="5">
        <f t="shared" si="43"/>
        <v>1.7800000000000002</v>
      </c>
      <c r="U116" s="9">
        <v>1.9508987286277951E-2</v>
      </c>
      <c r="V116" s="5">
        <f t="shared" si="44"/>
        <v>13.089999999999998</v>
      </c>
      <c r="W116" s="9">
        <v>0.14346777729066199</v>
      </c>
      <c r="X116" s="5">
        <f t="shared" si="45"/>
        <v>7.6300000000000008</v>
      </c>
      <c r="Y116" s="9">
        <v>8.3625602805786944E-2</v>
      </c>
      <c r="Z116" s="5">
        <v>91.24</v>
      </c>
      <c r="AA116" s="5">
        <f t="shared" si="31"/>
        <v>91.24</v>
      </c>
      <c r="AB116" s="10"/>
    </row>
    <row r="117" spans="1:28">
      <c r="A117" s="3" t="s">
        <v>117</v>
      </c>
      <c r="B117" s="5">
        <f t="shared" si="30"/>
        <v>-180.15</v>
      </c>
      <c r="C117" s="9">
        <v>-7.5347249814925576E-2</v>
      </c>
      <c r="D117" s="5">
        <f t="shared" si="35"/>
        <v>46.530000000000008</v>
      </c>
      <c r="E117" s="9">
        <v>1.9461046538376284E-2</v>
      </c>
      <c r="F117" s="5">
        <f t="shared" si="36"/>
        <v>802.69</v>
      </c>
      <c r="G117" s="9">
        <v>0.33572291953340339</v>
      </c>
      <c r="H117" s="5">
        <f t="shared" si="37"/>
        <v>724.25</v>
      </c>
      <c r="I117" s="9">
        <v>0.30291560187876687</v>
      </c>
      <c r="J117" s="5">
        <f t="shared" si="38"/>
        <v>161.97000000000003</v>
      </c>
      <c r="K117" s="9">
        <v>6.7743514030105451E-2</v>
      </c>
      <c r="L117" s="5">
        <f t="shared" si="39"/>
        <v>-397.98</v>
      </c>
      <c r="M117" s="9">
        <v>-0.16645405762611204</v>
      </c>
      <c r="N117" s="5">
        <f t="shared" si="40"/>
        <v>682.06</v>
      </c>
      <c r="O117" s="9">
        <v>0.28526974859155224</v>
      </c>
      <c r="P117" s="5">
        <f t="shared" si="41"/>
        <v>363.64</v>
      </c>
      <c r="Q117" s="9">
        <v>0.15209144558811843</v>
      </c>
      <c r="R117" s="5">
        <f t="shared" si="42"/>
        <v>-98.18</v>
      </c>
      <c r="S117" s="9">
        <v>-4.1063519216371878E-2</v>
      </c>
      <c r="T117" s="5">
        <f t="shared" si="43"/>
        <v>669.55</v>
      </c>
      <c r="U117" s="9">
        <v>0.28003747495744336</v>
      </c>
      <c r="V117" s="5">
        <f t="shared" si="44"/>
        <v>255.97</v>
      </c>
      <c r="W117" s="9">
        <v>0.10705875956217874</v>
      </c>
      <c r="X117" s="5">
        <f t="shared" si="45"/>
        <v>-639.41999999999996</v>
      </c>
      <c r="Y117" s="9">
        <v>-0.26743568402253515</v>
      </c>
      <c r="Z117" s="5">
        <v>2390.9299999999998</v>
      </c>
      <c r="AA117" s="5">
        <f t="shared" si="31"/>
        <v>2390.9299999999998</v>
      </c>
      <c r="AB117" s="10"/>
    </row>
    <row r="118" spans="1:28">
      <c r="A118" s="3" t="s">
        <v>118</v>
      </c>
      <c r="B118" s="5">
        <v>0</v>
      </c>
      <c r="C118" s="9">
        <v>0.418554476806904</v>
      </c>
      <c r="D118" s="5">
        <v>0</v>
      </c>
      <c r="E118" s="9">
        <v>0.17637540453074432</v>
      </c>
      <c r="F118" s="5">
        <v>0</v>
      </c>
      <c r="G118" s="9">
        <v>0.25350593311758363</v>
      </c>
      <c r="H118" s="5">
        <v>0</v>
      </c>
      <c r="I118" s="9">
        <v>7.605177993527508E-2</v>
      </c>
      <c r="J118" s="5">
        <v>0</v>
      </c>
      <c r="K118" s="9">
        <v>5.3937432578209279E-2</v>
      </c>
      <c r="L118" s="5">
        <v>0</v>
      </c>
      <c r="M118" s="9">
        <v>0</v>
      </c>
      <c r="N118" s="5">
        <v>0</v>
      </c>
      <c r="O118" s="9">
        <v>2.1574973031283712E-2</v>
      </c>
      <c r="P118" s="5">
        <v>0</v>
      </c>
      <c r="Q118" s="9">
        <v>0</v>
      </c>
      <c r="R118" s="5">
        <f t="shared" si="42"/>
        <v>0</v>
      </c>
      <c r="S118" s="9">
        <v>0</v>
      </c>
      <c r="T118" s="5">
        <f t="shared" si="43"/>
        <v>0</v>
      </c>
      <c r="U118" s="9">
        <v>0</v>
      </c>
      <c r="V118" s="5">
        <f t="shared" si="44"/>
        <v>0</v>
      </c>
      <c r="W118" s="9">
        <v>0</v>
      </c>
      <c r="X118" s="5">
        <f t="shared" si="45"/>
        <v>0</v>
      </c>
      <c r="Y118" s="9">
        <v>0</v>
      </c>
      <c r="Z118" s="5">
        <v>0</v>
      </c>
      <c r="AA118" s="5">
        <f t="shared" si="31"/>
        <v>0</v>
      </c>
      <c r="AB118" s="10"/>
    </row>
    <row r="119" spans="1:28">
      <c r="A119" s="3" t="s">
        <v>119</v>
      </c>
      <c r="B119" s="6">
        <f>SUM(B115:B118)</f>
        <v>-172.61</v>
      </c>
      <c r="C119" s="6">
        <f t="shared" ref="C119:X119" si="51">SUM(C115:C118)</f>
        <v>0.42584642032823444</v>
      </c>
      <c r="D119" s="6">
        <f t="shared" si="51"/>
        <v>59.780000000000008</v>
      </c>
      <c r="E119" s="6">
        <f t="shared" si="51"/>
        <v>0.34105784519450422</v>
      </c>
      <c r="F119" s="6">
        <f t="shared" si="51"/>
        <v>804.32</v>
      </c>
      <c r="G119" s="6">
        <f t="shared" si="51"/>
        <v>0.60709382415471347</v>
      </c>
      <c r="H119" s="6">
        <f t="shared" si="51"/>
        <v>3231.68</v>
      </c>
      <c r="I119" s="6">
        <f t="shared" si="51"/>
        <v>1.460400963576427</v>
      </c>
      <c r="J119" s="6">
        <f t="shared" si="51"/>
        <v>175.46000000000004</v>
      </c>
      <c r="K119" s="6">
        <f t="shared" si="51"/>
        <v>0.26953276598578074</v>
      </c>
      <c r="L119" s="6">
        <f t="shared" si="51"/>
        <v>-396.26</v>
      </c>
      <c r="M119" s="6">
        <f t="shared" si="51"/>
        <v>-0.1476026766528547</v>
      </c>
      <c r="N119" s="6">
        <f t="shared" si="51"/>
        <v>695.8</v>
      </c>
      <c r="O119" s="6">
        <f t="shared" si="51"/>
        <v>0.45743656730455445</v>
      </c>
      <c r="P119" s="6">
        <f t="shared" si="51"/>
        <v>371.51</v>
      </c>
      <c r="Q119" s="6">
        <f t="shared" si="51"/>
        <v>0.2383474736459878</v>
      </c>
      <c r="R119" s="6">
        <f t="shared" si="51"/>
        <v>-96.110000000000014</v>
      </c>
      <c r="S119" s="6">
        <f t="shared" si="51"/>
        <v>-1.8376101417161006E-2</v>
      </c>
      <c r="T119" s="6">
        <f t="shared" si="51"/>
        <v>671.32999999999993</v>
      </c>
      <c r="U119" s="6">
        <f t="shared" si="51"/>
        <v>0.29954646224372128</v>
      </c>
      <c r="V119" s="6">
        <f t="shared" si="51"/>
        <v>269.06</v>
      </c>
      <c r="W119" s="6">
        <f t="shared" si="51"/>
        <v>0.25052653685284071</v>
      </c>
      <c r="X119" s="6">
        <f t="shared" si="51"/>
        <v>-631.79</v>
      </c>
      <c r="Y119" s="9">
        <v>-4.4329389840283971E-2</v>
      </c>
      <c r="Z119" s="6">
        <f>SUM(Z115:Z118)</f>
        <v>4982.17</v>
      </c>
      <c r="AA119" s="6">
        <f t="shared" si="31"/>
        <v>4982.170000000001</v>
      </c>
      <c r="AB119" s="10"/>
    </row>
    <row r="120" spans="1:28">
      <c r="A120" s="3" t="s">
        <v>120</v>
      </c>
      <c r="B120" s="4"/>
      <c r="C120" s="9"/>
      <c r="D120" s="4"/>
      <c r="E120" s="9"/>
      <c r="F120" s="4"/>
      <c r="G120" s="9"/>
      <c r="H120" s="4"/>
      <c r="I120" s="9"/>
      <c r="J120" s="4"/>
      <c r="K120" s="9"/>
      <c r="L120" s="4"/>
      <c r="M120" s="9"/>
      <c r="N120" s="4"/>
      <c r="O120" s="9"/>
      <c r="P120" s="4"/>
      <c r="Q120" s="9"/>
      <c r="R120" s="4"/>
      <c r="S120" s="9"/>
      <c r="T120" s="4"/>
      <c r="U120" s="9"/>
      <c r="V120" s="4"/>
      <c r="W120" s="9"/>
      <c r="X120" s="4"/>
      <c r="Y120" s="9"/>
      <c r="Z120" s="4"/>
      <c r="AA120" s="4"/>
      <c r="AB120" s="10"/>
    </row>
    <row r="121" spans="1:28">
      <c r="A121" s="3" t="s">
        <v>121</v>
      </c>
      <c r="B121" s="5">
        <f t="shared" si="30"/>
        <v>366.15</v>
      </c>
      <c r="C121" s="9">
        <v>4.6816563205237215E-2</v>
      </c>
      <c r="D121" s="5">
        <f t="shared" si="35"/>
        <v>4088</v>
      </c>
      <c r="E121" s="9">
        <v>0.52269864914108899</v>
      </c>
      <c r="F121" s="5">
        <f t="shared" si="36"/>
        <v>0</v>
      </c>
      <c r="G121" s="9">
        <v>0</v>
      </c>
      <c r="H121" s="5">
        <f t="shared" si="37"/>
        <v>0</v>
      </c>
      <c r="I121" s="9">
        <v>0</v>
      </c>
      <c r="J121" s="5">
        <f t="shared" si="38"/>
        <v>0</v>
      </c>
      <c r="K121" s="9">
        <v>0</v>
      </c>
      <c r="L121" s="5">
        <f t="shared" si="39"/>
        <v>0</v>
      </c>
      <c r="M121" s="9">
        <v>0</v>
      </c>
      <c r="N121" s="5">
        <f t="shared" si="40"/>
        <v>0</v>
      </c>
      <c r="O121" s="9">
        <v>0</v>
      </c>
      <c r="P121" s="5">
        <f t="shared" si="41"/>
        <v>3366.8</v>
      </c>
      <c r="Q121" s="9">
        <v>0.43048478765367382</v>
      </c>
      <c r="R121" s="5">
        <f t="shared" si="42"/>
        <v>0</v>
      </c>
      <c r="S121" s="9">
        <v>0</v>
      </c>
      <c r="T121" s="5">
        <f t="shared" si="43"/>
        <v>0</v>
      </c>
      <c r="U121" s="9">
        <v>0</v>
      </c>
      <c r="V121" s="5">
        <f t="shared" si="44"/>
        <v>0</v>
      </c>
      <c r="W121" s="9">
        <v>0</v>
      </c>
      <c r="X121" s="5">
        <f t="shared" si="45"/>
        <v>0</v>
      </c>
      <c r="Y121" s="9">
        <v>0</v>
      </c>
      <c r="Z121" s="5">
        <v>7820.95</v>
      </c>
      <c r="AA121" s="5">
        <f t="shared" si="31"/>
        <v>7820.95</v>
      </c>
      <c r="AB121" s="10"/>
    </row>
    <row r="122" spans="1:28">
      <c r="A122" s="3" t="s">
        <v>122</v>
      </c>
      <c r="B122" s="6">
        <f t="shared" si="30"/>
        <v>366.15</v>
      </c>
      <c r="C122" s="9">
        <v>4.6816563205237215E-2</v>
      </c>
      <c r="D122" s="6">
        <f t="shared" si="35"/>
        <v>4088</v>
      </c>
      <c r="E122" s="9">
        <v>0.52269864914108899</v>
      </c>
      <c r="F122" s="6">
        <f t="shared" si="36"/>
        <v>0</v>
      </c>
      <c r="G122" s="9">
        <v>0</v>
      </c>
      <c r="H122" s="6">
        <f t="shared" si="37"/>
        <v>0</v>
      </c>
      <c r="I122" s="9">
        <v>0</v>
      </c>
      <c r="J122" s="6">
        <f t="shared" si="38"/>
        <v>0</v>
      </c>
      <c r="K122" s="9">
        <v>0</v>
      </c>
      <c r="L122" s="6">
        <f t="shared" si="39"/>
        <v>0</v>
      </c>
      <c r="M122" s="9">
        <v>0</v>
      </c>
      <c r="N122" s="6">
        <f t="shared" si="40"/>
        <v>0</v>
      </c>
      <c r="O122" s="9">
        <v>0</v>
      </c>
      <c r="P122" s="6">
        <f t="shared" si="41"/>
        <v>3366.8</v>
      </c>
      <c r="Q122" s="9">
        <v>0.43048478765367382</v>
      </c>
      <c r="R122" s="6">
        <f t="shared" si="42"/>
        <v>0</v>
      </c>
      <c r="S122" s="9">
        <v>0</v>
      </c>
      <c r="T122" s="6">
        <f t="shared" si="43"/>
        <v>0</v>
      </c>
      <c r="U122" s="9">
        <v>0</v>
      </c>
      <c r="V122" s="6">
        <f t="shared" si="44"/>
        <v>0</v>
      </c>
      <c r="W122" s="9">
        <v>0</v>
      </c>
      <c r="X122" s="6">
        <f t="shared" si="45"/>
        <v>0</v>
      </c>
      <c r="Y122" s="9">
        <v>0</v>
      </c>
      <c r="Z122" s="6">
        <v>7820.95</v>
      </c>
      <c r="AA122" s="6">
        <f t="shared" si="31"/>
        <v>7820.95</v>
      </c>
      <c r="AB122" s="10"/>
    </row>
    <row r="123" spans="1:28">
      <c r="A123" s="3" t="s">
        <v>123</v>
      </c>
      <c r="B123" s="6">
        <f>B119-B122</f>
        <v>-538.76</v>
      </c>
      <c r="C123" s="6">
        <f t="shared" ref="C123:X123" si="52">C119-C122</f>
        <v>0.37902985712299725</v>
      </c>
      <c r="D123" s="6">
        <f t="shared" si="52"/>
        <v>-4028.22</v>
      </c>
      <c r="E123" s="6">
        <f t="shared" si="52"/>
        <v>-0.18164080394658477</v>
      </c>
      <c r="F123" s="6">
        <f t="shared" si="52"/>
        <v>804.32</v>
      </c>
      <c r="G123" s="6">
        <f t="shared" si="52"/>
        <v>0.60709382415471347</v>
      </c>
      <c r="H123" s="6">
        <f t="shared" si="52"/>
        <v>3231.68</v>
      </c>
      <c r="I123" s="6">
        <f t="shared" si="52"/>
        <v>1.460400963576427</v>
      </c>
      <c r="J123" s="6">
        <f t="shared" si="52"/>
        <v>175.46000000000004</v>
      </c>
      <c r="K123" s="6">
        <f t="shared" si="52"/>
        <v>0.26953276598578074</v>
      </c>
      <c r="L123" s="6">
        <f t="shared" si="52"/>
        <v>-396.26</v>
      </c>
      <c r="M123" s="6">
        <f t="shared" si="52"/>
        <v>-0.1476026766528547</v>
      </c>
      <c r="N123" s="6">
        <f t="shared" si="52"/>
        <v>695.8</v>
      </c>
      <c r="O123" s="6">
        <f t="shared" si="52"/>
        <v>0.45743656730455445</v>
      </c>
      <c r="P123" s="6">
        <f t="shared" si="52"/>
        <v>-2995.29</v>
      </c>
      <c r="Q123" s="6">
        <f t="shared" si="52"/>
        <v>-0.19213731400768602</v>
      </c>
      <c r="R123" s="6">
        <f t="shared" si="52"/>
        <v>-96.110000000000014</v>
      </c>
      <c r="S123" s="6">
        <f t="shared" si="52"/>
        <v>-1.8376101417161006E-2</v>
      </c>
      <c r="T123" s="6">
        <f t="shared" si="52"/>
        <v>671.32999999999993</v>
      </c>
      <c r="U123" s="6">
        <f t="shared" si="52"/>
        <v>0.29954646224372128</v>
      </c>
      <c r="V123" s="6">
        <f t="shared" si="52"/>
        <v>269.06</v>
      </c>
      <c r="W123" s="6">
        <f t="shared" si="52"/>
        <v>0.25052653685284071</v>
      </c>
      <c r="X123" s="6">
        <f t="shared" si="52"/>
        <v>-631.79</v>
      </c>
      <c r="Y123" s="9">
        <v>-9.8237970400639391E-2</v>
      </c>
      <c r="Z123" s="6">
        <f>Z119-Z122</f>
        <v>-2838.7799999999997</v>
      </c>
      <c r="AA123" s="6">
        <f t="shared" si="31"/>
        <v>-2838.7799999999997</v>
      </c>
      <c r="AB123" s="10"/>
    </row>
    <row r="124" spans="1:28">
      <c r="A124" s="3" t="s">
        <v>124</v>
      </c>
      <c r="B124" s="7">
        <f>B113+B123</f>
        <v>14490.520424485045</v>
      </c>
      <c r="C124" s="7">
        <f t="shared" ref="C124:Y124" ca="1" si="53">C113+C123</f>
        <v>14490.520424485045</v>
      </c>
      <c r="D124" s="7">
        <f t="shared" si="53"/>
        <v>15533.739841741264</v>
      </c>
      <c r="E124" s="7">
        <f t="shared" ca="1" si="53"/>
        <v>14490.520424485045</v>
      </c>
      <c r="F124" s="7">
        <f t="shared" si="53"/>
        <v>17309.955914010534</v>
      </c>
      <c r="G124" s="7">
        <f t="shared" ca="1" si="53"/>
        <v>14490.520424485045</v>
      </c>
      <c r="H124" s="7">
        <f t="shared" si="53"/>
        <v>-10611.01676400438</v>
      </c>
      <c r="I124" s="7">
        <f t="shared" ca="1" si="53"/>
        <v>14490.520424485045</v>
      </c>
      <c r="J124" s="7">
        <f t="shared" si="53"/>
        <v>11335.459152545474</v>
      </c>
      <c r="K124" s="7">
        <f t="shared" ca="1" si="53"/>
        <v>14490.520424485045</v>
      </c>
      <c r="L124" s="7">
        <f t="shared" si="53"/>
        <v>-4024.04337017133</v>
      </c>
      <c r="M124" s="7">
        <f t="shared" ca="1" si="53"/>
        <v>14490.520424485045</v>
      </c>
      <c r="N124" s="7">
        <f t="shared" si="53"/>
        <v>249.36274571367971</v>
      </c>
      <c r="O124" s="7">
        <f t="shared" ca="1" si="53"/>
        <v>14490.520424485045</v>
      </c>
      <c r="P124" s="7">
        <f t="shared" si="53"/>
        <v>-7481.6168067834687</v>
      </c>
      <c r="Q124" s="7">
        <f t="shared" ca="1" si="53"/>
        <v>14490.520424485045</v>
      </c>
      <c r="R124" s="7">
        <f t="shared" si="53"/>
        <v>-12535.19291287064</v>
      </c>
      <c r="S124" s="7">
        <f t="shared" ca="1" si="53"/>
        <v>14490.520424485045</v>
      </c>
      <c r="T124" s="7">
        <f t="shared" si="53"/>
        <v>-11079.736172326346</v>
      </c>
      <c r="U124" s="7">
        <f t="shared" ca="1" si="53"/>
        <v>14490.520424485045</v>
      </c>
      <c r="V124" s="7">
        <f t="shared" si="53"/>
        <v>8032.3454405093753</v>
      </c>
      <c r="W124" s="7">
        <f t="shared" ca="1" si="53"/>
        <v>14490.520424485045</v>
      </c>
      <c r="X124" s="7">
        <f>X113+X123</f>
        <v>-23326.965639515831</v>
      </c>
      <c r="Y124" s="7">
        <f t="shared" si="53"/>
        <v>1.5183685957462565</v>
      </c>
      <c r="Z124" s="7">
        <f>Z123+Z113</f>
        <v>-2107.1914800000095</v>
      </c>
      <c r="AA124" s="7">
        <f t="shared" si="31"/>
        <v>-2107.1881466666127</v>
      </c>
      <c r="AB124" s="10"/>
    </row>
    <row r="125" spans="1:28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8" spans="1:28">
      <c r="A128" s="18" t="s">
        <v>125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2"/>
  <sheetViews>
    <sheetView zoomScale="130" zoomScaleNormal="130" workbookViewId="0">
      <pane xSplit="1" ySplit="5" topLeftCell="B33" activePane="bottomRight" state="frozen"/>
      <selection activeCell="C15" sqref="C15"/>
      <selection pane="topRight" activeCell="C15" sqref="C15"/>
      <selection pane="bottomLeft" activeCell="C15" sqref="C15"/>
      <selection pane="bottomRight" activeCell="A53" sqref="A53"/>
    </sheetView>
  </sheetViews>
  <sheetFormatPr defaultRowHeight="13.8"/>
  <cols>
    <col min="1" max="1" width="36.8984375" customWidth="1"/>
    <col min="2" max="3" width="9.5" customWidth="1"/>
    <col min="4" max="5" width="10.296875" customWidth="1"/>
    <col min="6" max="7" width="9.5" customWidth="1"/>
    <col min="8" max="9" width="11.19921875" customWidth="1"/>
    <col min="10" max="15" width="9.5" customWidth="1"/>
    <col min="16" max="21" width="10.296875" customWidth="1"/>
    <col min="22" max="23" width="9.5" customWidth="1"/>
    <col min="24" max="26" width="11.19921875" customWidth="1"/>
  </cols>
  <sheetData>
    <row r="1" spans="1:27" ht="17.399999999999999">
      <c r="A1" s="13" t="s">
        <v>126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ht="17.399999999999999">
      <c r="A2" s="13" t="s">
        <v>127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7">
      <c r="A3" s="14" t="s">
        <v>128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5" spans="1:27">
      <c r="A5" s="1"/>
      <c r="B5" s="2" t="s">
        <v>0</v>
      </c>
      <c r="C5" s="2" t="s">
        <v>0</v>
      </c>
      <c r="D5" s="2" t="s">
        <v>1</v>
      </c>
      <c r="E5" s="2" t="s">
        <v>1</v>
      </c>
      <c r="F5" s="8">
        <v>45352</v>
      </c>
      <c r="G5" s="8">
        <v>45352</v>
      </c>
      <c r="H5" s="2" t="s">
        <v>2</v>
      </c>
      <c r="I5" s="2" t="s">
        <v>2</v>
      </c>
      <c r="J5" s="2" t="s">
        <v>3</v>
      </c>
      <c r="K5" s="2" t="s">
        <v>3</v>
      </c>
      <c r="L5" s="2" t="s">
        <v>4</v>
      </c>
      <c r="M5" s="2" t="s">
        <v>4</v>
      </c>
      <c r="N5" s="2" t="s">
        <v>5</v>
      </c>
      <c r="O5" s="2" t="s">
        <v>5</v>
      </c>
      <c r="P5" s="2" t="s">
        <v>6</v>
      </c>
      <c r="Q5" s="2" t="s">
        <v>6</v>
      </c>
      <c r="R5" s="2" t="s">
        <v>7</v>
      </c>
      <c r="S5" s="2" t="s">
        <v>7</v>
      </c>
      <c r="T5" s="2" t="s">
        <v>8</v>
      </c>
      <c r="U5" s="2" t="s">
        <v>8</v>
      </c>
      <c r="V5" s="2" t="s">
        <v>9</v>
      </c>
      <c r="W5" s="2" t="s">
        <v>9</v>
      </c>
      <c r="X5" s="2" t="s">
        <v>10</v>
      </c>
      <c r="Y5" s="2" t="s">
        <v>10</v>
      </c>
      <c r="Z5" s="2" t="s">
        <v>11</v>
      </c>
    </row>
    <row r="6" spans="1:27">
      <c r="A6" s="3" t="s">
        <v>12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7">
      <c r="A7" s="3" t="s">
        <v>13</v>
      </c>
      <c r="B7" s="4"/>
      <c r="C7" s="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>
        <f t="shared" ref="Z7:Z38" si="0">(((((((((((B7)+(D7))+(F7))+(H7))+(J7))+(L7))+(N7))+(P7))+(R7))+(T7))+(V7))+(X7)</f>
        <v>0</v>
      </c>
    </row>
    <row r="8" spans="1:27">
      <c r="A8" s="3" t="s">
        <v>14</v>
      </c>
      <c r="B8" s="5">
        <f>110</f>
        <v>110</v>
      </c>
      <c r="C8" s="9">
        <f t="shared" ref="C8:Y71" si="1">B8/$Z8</f>
        <v>2.5345622119815669E-2</v>
      </c>
      <c r="D8" s="5">
        <f>220</f>
        <v>220</v>
      </c>
      <c r="E8" s="9">
        <f t="shared" si="1"/>
        <v>5.0691244239631339E-2</v>
      </c>
      <c r="F8" s="5">
        <f>385</f>
        <v>385</v>
      </c>
      <c r="G8" s="9">
        <f t="shared" si="1"/>
        <v>8.8709677419354843E-2</v>
      </c>
      <c r="H8" s="5">
        <f>605</f>
        <v>605</v>
      </c>
      <c r="I8" s="9">
        <f t="shared" si="1"/>
        <v>0.13940092165898618</v>
      </c>
      <c r="J8" s="5">
        <f>545</f>
        <v>545</v>
      </c>
      <c r="K8" s="9">
        <f t="shared" si="1"/>
        <v>0.12557603686635946</v>
      </c>
      <c r="L8" s="5">
        <f>495</f>
        <v>495</v>
      </c>
      <c r="M8" s="9">
        <f t="shared" si="1"/>
        <v>0.11405529953917051</v>
      </c>
      <c r="N8" s="5">
        <f>605</f>
        <v>605</v>
      </c>
      <c r="O8" s="9">
        <f t="shared" si="1"/>
        <v>0.13940092165898618</v>
      </c>
      <c r="P8" s="5">
        <f>220</f>
        <v>220</v>
      </c>
      <c r="Q8" s="9">
        <f t="shared" si="1"/>
        <v>5.0691244239631339E-2</v>
      </c>
      <c r="R8" s="5">
        <f>220</f>
        <v>220</v>
      </c>
      <c r="S8" s="9">
        <f t="shared" si="1"/>
        <v>5.0691244239631339E-2</v>
      </c>
      <c r="T8" s="5">
        <f>385</f>
        <v>385</v>
      </c>
      <c r="U8" s="9">
        <f t="shared" si="1"/>
        <v>8.8709677419354843E-2</v>
      </c>
      <c r="V8" s="5">
        <f>55</f>
        <v>55</v>
      </c>
      <c r="W8" s="9">
        <f t="shared" si="1"/>
        <v>1.2672811059907835E-2</v>
      </c>
      <c r="X8" s="5">
        <f>495</f>
        <v>495</v>
      </c>
      <c r="Y8" s="9">
        <f t="shared" si="1"/>
        <v>0.11405529953917051</v>
      </c>
      <c r="Z8" s="5">
        <f t="shared" si="0"/>
        <v>4340</v>
      </c>
      <c r="AA8" s="10">
        <f>C8+E8+G8+I8+K8+M8+O8+Q8+S8+U8+W8+Y8</f>
        <v>1</v>
      </c>
    </row>
    <row r="9" spans="1:27">
      <c r="A9" s="3" t="s">
        <v>15</v>
      </c>
      <c r="B9" s="5">
        <f>5813.5</f>
        <v>5813.5</v>
      </c>
      <c r="C9" s="9">
        <f t="shared" si="1"/>
        <v>7.5559368074916006E-2</v>
      </c>
      <c r="D9" s="5">
        <f>4752</f>
        <v>4752</v>
      </c>
      <c r="E9" s="9">
        <f t="shared" ref="E9" si="2">D9/$Z9</f>
        <v>6.1762813639288011E-2</v>
      </c>
      <c r="F9" s="5">
        <f>5577</f>
        <v>5577</v>
      </c>
      <c r="G9" s="9">
        <f t="shared" ref="G9" si="3">F9/$Z9</f>
        <v>7.248552434055329E-2</v>
      </c>
      <c r="H9" s="5">
        <f>6155.75</f>
        <v>6155.75</v>
      </c>
      <c r="I9" s="9">
        <f t="shared" ref="I9" si="4">H9/$Z9</f>
        <v>8.000766836280454E-2</v>
      </c>
      <c r="J9" s="5">
        <f>9190.5</f>
        <v>9190.5</v>
      </c>
      <c r="K9" s="9">
        <f t="shared" ref="K9" si="5">J9/$Z9</f>
        <v>0.11945099721209522</v>
      </c>
      <c r="L9" s="5">
        <f>4512</f>
        <v>4512</v>
      </c>
      <c r="M9" s="9">
        <f t="shared" ref="M9" si="6">L9/$Z9</f>
        <v>5.864347961710175E-2</v>
      </c>
      <c r="N9" s="5">
        <f>8866</f>
        <v>8866</v>
      </c>
      <c r="O9" s="9">
        <f t="shared" ref="O9" si="7">N9/$Z9</f>
        <v>0.11523339766959755</v>
      </c>
      <c r="P9" s="5">
        <f>5365.25</f>
        <v>5365.25</v>
      </c>
      <c r="Q9" s="9">
        <f t="shared" ref="Q9" si="8">P9/$Z9</f>
        <v>6.9733361927228538E-2</v>
      </c>
      <c r="R9" s="5">
        <f>3157</f>
        <v>3157</v>
      </c>
      <c r="S9" s="9">
        <f t="shared" ref="S9" si="9">R9/$Z9</f>
        <v>4.1032239616841805E-2</v>
      </c>
      <c r="T9" s="5">
        <f>5852</f>
        <v>5852</v>
      </c>
      <c r="U9" s="9">
        <f t="shared" ref="U9" si="10">T9/$Z9</f>
        <v>7.6059761240975049E-2</v>
      </c>
      <c r="V9" s="5">
        <f>10521</f>
        <v>10521</v>
      </c>
      <c r="W9" s="9">
        <f t="shared" ref="W9" si="11">V9/$Z9</f>
        <v>0.1367438051975903</v>
      </c>
      <c r="X9" s="5">
        <f>7177.5</f>
        <v>7177.5</v>
      </c>
      <c r="Y9" s="9">
        <f t="shared" ref="Y9" si="12">X9/$Z9</f>
        <v>9.3287583101007931E-2</v>
      </c>
      <c r="Z9" s="5">
        <f t="shared" si="0"/>
        <v>76939.5</v>
      </c>
      <c r="AA9" s="10">
        <f t="shared" ref="AA9:AA72" si="13">C9+E9+G9+I9+K9+M9+O9+Q9+S9+U9+W9+Y9</f>
        <v>1</v>
      </c>
    </row>
    <row r="10" spans="1:27">
      <c r="A10" s="3" t="s">
        <v>16</v>
      </c>
      <c r="B10" s="5">
        <f>784</f>
        <v>784</v>
      </c>
      <c r="C10" s="9">
        <f t="shared" si="1"/>
        <v>2.8286910088035792E-2</v>
      </c>
      <c r="D10" s="5">
        <f>2046</f>
        <v>2046</v>
      </c>
      <c r="E10" s="9">
        <f t="shared" ref="E10" si="14">D10/$Z10</f>
        <v>7.3820176071583199E-2</v>
      </c>
      <c r="F10" s="5">
        <f>1996.5</f>
        <v>1996.5</v>
      </c>
      <c r="G10" s="9">
        <f t="shared" ref="G10" si="15">F10/$Z10</f>
        <v>7.2034204069851351E-2</v>
      </c>
      <c r="H10" s="5">
        <f>3333</f>
        <v>3333</v>
      </c>
      <c r="I10" s="9">
        <f t="shared" ref="I10" si="16">H10/$Z10</f>
        <v>0.12025544811661135</v>
      </c>
      <c r="J10" s="5">
        <f>3177.5</f>
        <v>3177.5</v>
      </c>
      <c r="K10" s="9">
        <f t="shared" ref="K10" si="17">J10/$Z10</f>
        <v>0.11464497041420119</v>
      </c>
      <c r="L10" s="5">
        <f>3564</f>
        <v>3564</v>
      </c>
      <c r="M10" s="9">
        <f t="shared" ref="M10" si="18">L10/$Z10</f>
        <v>0.12858998412469333</v>
      </c>
      <c r="N10" s="5">
        <f>3113</f>
        <v>3113</v>
      </c>
      <c r="O10" s="9">
        <f t="shared" ref="O10" si="19">N10/$Z10</f>
        <v>0.11231779477558089</v>
      </c>
      <c r="P10" s="5">
        <f>1078</f>
        <v>1078</v>
      </c>
      <c r="Q10" s="9">
        <f t="shared" ref="Q10" si="20">P10/$Z10</f>
        <v>3.889450137104921E-2</v>
      </c>
      <c r="R10" s="5">
        <f>902</f>
        <v>902</v>
      </c>
      <c r="S10" s="9">
        <f t="shared" ref="S10" si="21">R10/$Z10</f>
        <v>3.2544378698224852E-2</v>
      </c>
      <c r="T10" s="5">
        <f>3091</f>
        <v>3091</v>
      </c>
      <c r="U10" s="9">
        <f t="shared" ref="U10" si="22">T10/$Z10</f>
        <v>0.11152402944147785</v>
      </c>
      <c r="V10" s="5">
        <f>269.5</f>
        <v>269.5</v>
      </c>
      <c r="W10" s="9">
        <f t="shared" ref="W10" si="23">V10/$Z10</f>
        <v>9.7236253427623025E-3</v>
      </c>
      <c r="X10" s="5">
        <f>4361.5</f>
        <v>4361.5</v>
      </c>
      <c r="Y10" s="9">
        <f t="shared" ref="Y10" si="24">X10/$Z10</f>
        <v>0.1573639774859287</v>
      </c>
      <c r="Z10" s="5">
        <f t="shared" si="0"/>
        <v>27716</v>
      </c>
      <c r="AA10" s="10">
        <f t="shared" si="13"/>
        <v>1</v>
      </c>
    </row>
    <row r="11" spans="1:27">
      <c r="A11" s="3" t="s">
        <v>17</v>
      </c>
      <c r="B11" s="6">
        <f t="shared" ref="B11:X11" si="25">(((B7)+(B8))+(B9))+(B10)</f>
        <v>6707.5</v>
      </c>
      <c r="C11" s="9">
        <f t="shared" si="1"/>
        <v>6.1539237858443695E-2</v>
      </c>
      <c r="D11" s="6">
        <f t="shared" si="25"/>
        <v>7018</v>
      </c>
      <c r="E11" s="9">
        <f t="shared" ref="E11" si="26">D11/$Z11</f>
        <v>6.438797932024716E-2</v>
      </c>
      <c r="F11" s="6">
        <f t="shared" si="25"/>
        <v>7958.5</v>
      </c>
      <c r="G11" s="9">
        <f t="shared" ref="G11" si="27">F11/$Z11</f>
        <v>7.3016775921941737E-2</v>
      </c>
      <c r="H11" s="6">
        <f t="shared" si="25"/>
        <v>10093.75</v>
      </c>
      <c r="I11" s="9">
        <f t="shared" ref="I11" si="28">H11/$Z11</f>
        <v>9.2607034235358335E-2</v>
      </c>
      <c r="J11" s="6">
        <f t="shared" si="25"/>
        <v>12913</v>
      </c>
      <c r="K11" s="9">
        <f t="shared" ref="K11" si="29">J11/$Z11</f>
        <v>0.118472780986371</v>
      </c>
      <c r="L11" s="6">
        <f t="shared" si="25"/>
        <v>8571</v>
      </c>
      <c r="M11" s="9">
        <f t="shared" ref="M11" si="30">L11/$Z11</f>
        <v>7.8636273974613632E-2</v>
      </c>
      <c r="N11" s="6">
        <f t="shared" si="25"/>
        <v>12584</v>
      </c>
      <c r="O11" s="9">
        <f t="shared" ref="O11" si="31">N11/$Z11</f>
        <v>0.11545430774665009</v>
      </c>
      <c r="P11" s="6">
        <f t="shared" si="25"/>
        <v>6663.25</v>
      </c>
      <c r="Q11" s="9">
        <f t="shared" ref="Q11" si="32">P11/$Z11</f>
        <v>6.1133257795046587E-2</v>
      </c>
      <c r="R11" s="6">
        <f t="shared" si="25"/>
        <v>4279</v>
      </c>
      <c r="S11" s="9">
        <f t="shared" ref="S11" si="33">R11/$Z11</f>
        <v>3.9258501497768258E-2</v>
      </c>
      <c r="T11" s="6">
        <f t="shared" si="25"/>
        <v>9328</v>
      </c>
      <c r="U11" s="9">
        <f t="shared" ref="U11" si="34">T11/$Z11</f>
        <v>8.5581514833181188E-2</v>
      </c>
      <c r="V11" s="6">
        <f t="shared" si="25"/>
        <v>10845.5</v>
      </c>
      <c r="W11" s="9">
        <f t="shared" ref="W11" si="35">V11/$Z11</f>
        <v>9.950410796776013E-2</v>
      </c>
      <c r="X11" s="6">
        <f t="shared" si="25"/>
        <v>12034</v>
      </c>
      <c r="Y11" s="9">
        <f t="shared" ref="Y11" si="36">X11/$Z11</f>
        <v>0.11040822786261818</v>
      </c>
      <c r="Z11" s="6">
        <f t="shared" si="0"/>
        <v>108995.5</v>
      </c>
      <c r="AA11" s="10">
        <f t="shared" si="13"/>
        <v>1</v>
      </c>
    </row>
    <row r="12" spans="1:27">
      <c r="A12" s="3" t="s">
        <v>18</v>
      </c>
      <c r="B12" s="4"/>
      <c r="C12" s="9" t="e">
        <f t="shared" si="1"/>
        <v>#DIV/0!</v>
      </c>
      <c r="D12" s="4"/>
      <c r="E12" s="9" t="e">
        <f t="shared" ref="E12" si="37">D12/$Z12</f>
        <v>#DIV/0!</v>
      </c>
      <c r="F12" s="4"/>
      <c r="G12" s="9" t="e">
        <f t="shared" ref="G12" si="38">F12/$Z12</f>
        <v>#DIV/0!</v>
      </c>
      <c r="H12" s="4"/>
      <c r="I12" s="9" t="e">
        <f t="shared" ref="I12" si="39">H12/$Z12</f>
        <v>#DIV/0!</v>
      </c>
      <c r="J12" s="4"/>
      <c r="K12" s="9" t="e">
        <f t="shared" ref="K12" si="40">J12/$Z12</f>
        <v>#DIV/0!</v>
      </c>
      <c r="L12" s="4"/>
      <c r="M12" s="9" t="e">
        <f t="shared" ref="M12" si="41">L12/$Z12</f>
        <v>#DIV/0!</v>
      </c>
      <c r="N12" s="4"/>
      <c r="O12" s="9" t="e">
        <f t="shared" ref="O12" si="42">N12/$Z12</f>
        <v>#DIV/0!</v>
      </c>
      <c r="P12" s="4"/>
      <c r="Q12" s="9" t="e">
        <f t="shared" ref="Q12" si="43">P12/$Z12</f>
        <v>#DIV/0!</v>
      </c>
      <c r="R12" s="4"/>
      <c r="S12" s="9" t="e">
        <f t="shared" ref="S12" si="44">R12/$Z12</f>
        <v>#DIV/0!</v>
      </c>
      <c r="T12" s="4"/>
      <c r="U12" s="9" t="e">
        <f t="shared" ref="U12" si="45">T12/$Z12</f>
        <v>#DIV/0!</v>
      </c>
      <c r="V12" s="4"/>
      <c r="W12" s="9" t="e">
        <f t="shared" ref="W12" si="46">V12/$Z12</f>
        <v>#DIV/0!</v>
      </c>
      <c r="X12" s="4"/>
      <c r="Y12" s="9" t="e">
        <f t="shared" ref="Y12" si="47">X12/$Z12</f>
        <v>#DIV/0!</v>
      </c>
      <c r="Z12" s="5">
        <f t="shared" si="0"/>
        <v>0</v>
      </c>
      <c r="AA12" s="10" t="e">
        <f t="shared" si="13"/>
        <v>#DIV/0!</v>
      </c>
    </row>
    <row r="13" spans="1:27">
      <c r="A13" s="3" t="s">
        <v>19</v>
      </c>
      <c r="B13" s="4"/>
      <c r="C13" s="9" t="e">
        <f t="shared" si="1"/>
        <v>#DIV/0!</v>
      </c>
      <c r="D13" s="4"/>
      <c r="E13" s="9" t="e">
        <f t="shared" ref="E13" si="48">D13/$Z13</f>
        <v>#DIV/0!</v>
      </c>
      <c r="F13" s="4"/>
      <c r="G13" s="9" t="e">
        <f t="shared" ref="G13" si="49">F13/$Z13</f>
        <v>#DIV/0!</v>
      </c>
      <c r="H13" s="4"/>
      <c r="I13" s="9" t="e">
        <f t="shared" ref="I13" si="50">H13/$Z13</f>
        <v>#DIV/0!</v>
      </c>
      <c r="J13" s="4"/>
      <c r="K13" s="9" t="e">
        <f t="shared" ref="K13" si="51">J13/$Z13</f>
        <v>#DIV/0!</v>
      </c>
      <c r="L13" s="4"/>
      <c r="M13" s="9" t="e">
        <f t="shared" ref="M13" si="52">L13/$Z13</f>
        <v>#DIV/0!</v>
      </c>
      <c r="N13" s="4"/>
      <c r="O13" s="9" t="e">
        <f t="shared" ref="O13" si="53">N13/$Z13</f>
        <v>#DIV/0!</v>
      </c>
      <c r="P13" s="4"/>
      <c r="Q13" s="9" t="e">
        <f t="shared" ref="Q13" si="54">P13/$Z13</f>
        <v>#DIV/0!</v>
      </c>
      <c r="R13" s="4"/>
      <c r="S13" s="9" t="e">
        <f t="shared" ref="S13" si="55">R13/$Z13</f>
        <v>#DIV/0!</v>
      </c>
      <c r="T13" s="4"/>
      <c r="U13" s="9" t="e">
        <f t="shared" ref="U13" si="56">T13/$Z13</f>
        <v>#DIV/0!</v>
      </c>
      <c r="V13" s="4"/>
      <c r="W13" s="9" t="e">
        <f t="shared" ref="W13" si="57">V13/$Z13</f>
        <v>#DIV/0!</v>
      </c>
      <c r="X13" s="4"/>
      <c r="Y13" s="9" t="e">
        <f t="shared" ref="Y13" si="58">X13/$Z13</f>
        <v>#DIV/0!</v>
      </c>
      <c r="Z13" s="5">
        <f t="shared" si="0"/>
        <v>0</v>
      </c>
      <c r="AA13" s="10" t="e">
        <f t="shared" si="13"/>
        <v>#DIV/0!</v>
      </c>
    </row>
    <row r="14" spans="1:27">
      <c r="A14" s="3" t="s">
        <v>20</v>
      </c>
      <c r="B14" s="5">
        <f>4950</f>
        <v>4950</v>
      </c>
      <c r="C14" s="9">
        <f t="shared" si="1"/>
        <v>0.19760479041916168</v>
      </c>
      <c r="D14" s="5">
        <f>2250</f>
        <v>2250</v>
      </c>
      <c r="E14" s="9">
        <f t="shared" ref="E14" si="59">D14/$Z14</f>
        <v>8.9820359281437126E-2</v>
      </c>
      <c r="F14" s="5">
        <f>10975</f>
        <v>10975</v>
      </c>
      <c r="G14" s="9">
        <f t="shared" ref="G14" si="60">F14/$Z14</f>
        <v>0.43812375249500995</v>
      </c>
      <c r="H14" s="5">
        <f>3587.5</f>
        <v>3587.5</v>
      </c>
      <c r="I14" s="9">
        <f t="shared" ref="I14" si="61">H14/$Z14</f>
        <v>0.14321357285429143</v>
      </c>
      <c r="J14" s="5">
        <f>2187.5</f>
        <v>2187.5</v>
      </c>
      <c r="K14" s="9">
        <f t="shared" ref="K14" si="62">J14/$Z14</f>
        <v>8.7325349301397209E-2</v>
      </c>
      <c r="L14" s="5">
        <f>550</f>
        <v>550</v>
      </c>
      <c r="M14" s="9">
        <f t="shared" ref="M14" si="63">L14/$Z14</f>
        <v>2.1956087824351298E-2</v>
      </c>
      <c r="N14" s="5">
        <f>550</f>
        <v>550</v>
      </c>
      <c r="O14" s="9">
        <f t="shared" ref="O14" si="64">N14/$Z14</f>
        <v>2.1956087824351298E-2</v>
      </c>
      <c r="P14" s="4"/>
      <c r="Q14" s="9">
        <f t="shared" ref="Q14" si="65">P14/$Z14</f>
        <v>0</v>
      </c>
      <c r="R14" s="4"/>
      <c r="S14" s="9">
        <f t="shared" ref="S14" si="66">R14/$Z14</f>
        <v>0</v>
      </c>
      <c r="T14" s="4"/>
      <c r="U14" s="9">
        <f t="shared" ref="U14" si="67">T14/$Z14</f>
        <v>0</v>
      </c>
      <c r="V14" s="4"/>
      <c r="W14" s="9">
        <f t="shared" ref="W14" si="68">V14/$Z14</f>
        <v>0</v>
      </c>
      <c r="X14" s="4"/>
      <c r="Y14" s="9">
        <f t="shared" ref="Y14" si="69">X14/$Z14</f>
        <v>0</v>
      </c>
      <c r="Z14" s="5">
        <f t="shared" si="0"/>
        <v>25050</v>
      </c>
      <c r="AA14" s="10">
        <f t="shared" si="13"/>
        <v>1</v>
      </c>
    </row>
    <row r="15" spans="1:27">
      <c r="A15" s="3" t="s">
        <v>21</v>
      </c>
      <c r="B15" s="4"/>
      <c r="C15" s="9">
        <f t="shared" si="1"/>
        <v>0</v>
      </c>
      <c r="D15" s="4"/>
      <c r="E15" s="9">
        <f t="shared" ref="E15" si="70">D15/$Z15</f>
        <v>0</v>
      </c>
      <c r="F15" s="5">
        <f>650</f>
        <v>650</v>
      </c>
      <c r="G15" s="9">
        <f t="shared" ref="G15" si="71">F15/$Z15</f>
        <v>0.44827586206896552</v>
      </c>
      <c r="H15" s="5">
        <f>650</f>
        <v>650</v>
      </c>
      <c r="I15" s="9">
        <f t="shared" ref="I15" si="72">H15/$Z15</f>
        <v>0.44827586206896552</v>
      </c>
      <c r="J15" s="4"/>
      <c r="K15" s="9">
        <f t="shared" ref="K15" si="73">J15/$Z15</f>
        <v>0</v>
      </c>
      <c r="L15" s="5">
        <f>100</f>
        <v>100</v>
      </c>
      <c r="M15" s="9">
        <f t="shared" ref="M15" si="74">L15/$Z15</f>
        <v>6.8965517241379309E-2</v>
      </c>
      <c r="N15" s="4"/>
      <c r="O15" s="9">
        <f t="shared" ref="O15" si="75">N15/$Z15</f>
        <v>0</v>
      </c>
      <c r="P15" s="4"/>
      <c r="Q15" s="9">
        <f t="shared" ref="Q15" si="76">P15/$Z15</f>
        <v>0</v>
      </c>
      <c r="R15" s="4"/>
      <c r="S15" s="9">
        <f t="shared" ref="S15" si="77">R15/$Z15</f>
        <v>0</v>
      </c>
      <c r="T15" s="4"/>
      <c r="U15" s="9">
        <f t="shared" ref="U15" si="78">T15/$Z15</f>
        <v>0</v>
      </c>
      <c r="V15" s="4"/>
      <c r="W15" s="9">
        <f t="shared" ref="W15" si="79">V15/$Z15</f>
        <v>0</v>
      </c>
      <c r="X15" s="5">
        <f>50</f>
        <v>50</v>
      </c>
      <c r="Y15" s="9">
        <f t="shared" ref="Y15" si="80">X15/$Z15</f>
        <v>3.4482758620689655E-2</v>
      </c>
      <c r="Z15" s="5">
        <f t="shared" si="0"/>
        <v>1450</v>
      </c>
      <c r="AA15" s="10">
        <f t="shared" si="13"/>
        <v>1</v>
      </c>
    </row>
    <row r="16" spans="1:27">
      <c r="A16" s="3" t="s">
        <v>22</v>
      </c>
      <c r="B16" s="4"/>
      <c r="C16" s="9">
        <f t="shared" si="1"/>
        <v>0</v>
      </c>
      <c r="D16" s="4"/>
      <c r="E16" s="9">
        <f t="shared" ref="E16" si="81">D16/$Z16</f>
        <v>0</v>
      </c>
      <c r="F16" s="5">
        <f>-5342.32</f>
        <v>-5342.32</v>
      </c>
      <c r="G16" s="9">
        <f t="shared" ref="G16" si="82">F16/$Z16</f>
        <v>0.21545157429125436</v>
      </c>
      <c r="H16" s="5">
        <f>-12891.1</f>
        <v>-12891.1</v>
      </c>
      <c r="I16" s="9">
        <f t="shared" ref="I16" si="83">H16/$Z16</f>
        <v>0.51988794930778937</v>
      </c>
      <c r="J16" s="5">
        <f>-4375</f>
        <v>-4375</v>
      </c>
      <c r="K16" s="9">
        <f t="shared" ref="K16" si="84">J16/$Z16</f>
        <v>0.17644031760063753</v>
      </c>
      <c r="L16" s="5">
        <f>-2187.5</f>
        <v>-2187.5</v>
      </c>
      <c r="M16" s="9">
        <f t="shared" ref="M16" si="85">L16/$Z16</f>
        <v>8.8220158800318763E-2</v>
      </c>
      <c r="N16" s="4"/>
      <c r="O16" s="9">
        <f t="shared" ref="O16" si="86">N16/$Z16</f>
        <v>0</v>
      </c>
      <c r="P16" s="4"/>
      <c r="Q16" s="9">
        <f t="shared" ref="Q16" si="87">P16/$Z16</f>
        <v>0</v>
      </c>
      <c r="R16" s="4"/>
      <c r="S16" s="9">
        <f t="shared" ref="S16" si="88">R16/$Z16</f>
        <v>0</v>
      </c>
      <c r="T16" s="4"/>
      <c r="U16" s="9">
        <f t="shared" ref="U16" si="89">T16/$Z16</f>
        <v>0</v>
      </c>
      <c r="V16" s="4"/>
      <c r="W16" s="9">
        <f t="shared" ref="W16" si="90">V16/$Z16</f>
        <v>0</v>
      </c>
      <c r="X16" s="4"/>
      <c r="Y16" s="9">
        <f t="shared" ref="Y16" si="91">X16/$Z16</f>
        <v>0</v>
      </c>
      <c r="Z16" s="5">
        <f t="shared" si="0"/>
        <v>-24795.919999999998</v>
      </c>
      <c r="AA16" s="10">
        <f t="shared" si="13"/>
        <v>1</v>
      </c>
    </row>
    <row r="17" spans="1:27">
      <c r="A17" s="3" t="s">
        <v>23</v>
      </c>
      <c r="B17" s="6">
        <f t="shared" ref="B17:X17" si="92">(((B13)+(B14))+(B15))+(B16)</f>
        <v>4950</v>
      </c>
      <c r="C17" s="9">
        <f t="shared" si="1"/>
        <v>2.9047932021970801</v>
      </c>
      <c r="D17" s="6">
        <f t="shared" si="92"/>
        <v>2250</v>
      </c>
      <c r="E17" s="9">
        <f t="shared" ref="E17" si="93">D17/$Z17</f>
        <v>1.3203605464532182</v>
      </c>
      <c r="F17" s="6">
        <f t="shared" si="92"/>
        <v>6282.68</v>
      </c>
      <c r="G17" s="9">
        <f t="shared" ref="G17" si="94">F17/$Z17</f>
        <v>3.6868456879958691</v>
      </c>
      <c r="H17" s="6">
        <f t="shared" si="92"/>
        <v>-8653.6</v>
      </c>
      <c r="I17" s="9">
        <f t="shared" ref="I17" si="95">H17/$Z17</f>
        <v>-5.0781653443500305</v>
      </c>
      <c r="J17" s="6">
        <f t="shared" si="92"/>
        <v>-2187.5</v>
      </c>
      <c r="K17" s="9">
        <f t="shared" ref="K17" si="96">J17/$Z17</f>
        <v>-1.2836838646072954</v>
      </c>
      <c r="L17" s="6">
        <f t="shared" si="92"/>
        <v>-1537.5</v>
      </c>
      <c r="M17" s="9">
        <f t="shared" ref="M17" si="97">L17/$Z17</f>
        <v>-0.90224637340969915</v>
      </c>
      <c r="N17" s="6">
        <f t="shared" si="92"/>
        <v>550</v>
      </c>
      <c r="O17" s="9">
        <f t="shared" ref="O17" si="98">N17/$Z17</f>
        <v>0.32275480024412001</v>
      </c>
      <c r="P17" s="6">
        <f t="shared" si="92"/>
        <v>0</v>
      </c>
      <c r="Q17" s="9">
        <f t="shared" ref="Q17" si="99">P17/$Z17</f>
        <v>0</v>
      </c>
      <c r="R17" s="6">
        <f t="shared" si="92"/>
        <v>0</v>
      </c>
      <c r="S17" s="9">
        <f t="shared" ref="S17" si="100">R17/$Z17</f>
        <v>0</v>
      </c>
      <c r="T17" s="6">
        <f t="shared" si="92"/>
        <v>0</v>
      </c>
      <c r="U17" s="9">
        <f t="shared" ref="U17" si="101">T17/$Z17</f>
        <v>0</v>
      </c>
      <c r="V17" s="6">
        <f t="shared" si="92"/>
        <v>0</v>
      </c>
      <c r="W17" s="9">
        <f t="shared" ref="W17" si="102">V17/$Z17</f>
        <v>0</v>
      </c>
      <c r="X17" s="6">
        <f t="shared" si="92"/>
        <v>50</v>
      </c>
      <c r="Y17" s="9">
        <f t="shared" ref="Y17" si="103">X17/$Z17</f>
        <v>2.9341345476738181E-2</v>
      </c>
      <c r="Z17" s="6">
        <f t="shared" si="0"/>
        <v>1704.08</v>
      </c>
      <c r="AA17" s="10">
        <f t="shared" si="13"/>
        <v>1</v>
      </c>
    </row>
    <row r="18" spans="1:27">
      <c r="A18" s="3" t="s">
        <v>24</v>
      </c>
      <c r="B18" s="4"/>
      <c r="C18" s="9" t="e">
        <f t="shared" si="1"/>
        <v>#DIV/0!</v>
      </c>
      <c r="D18" s="4"/>
      <c r="E18" s="9" t="e">
        <f t="shared" ref="E18" si="104">D18/$Z18</f>
        <v>#DIV/0!</v>
      </c>
      <c r="F18" s="4"/>
      <c r="G18" s="9" t="e">
        <f t="shared" ref="G18" si="105">F18/$Z18</f>
        <v>#DIV/0!</v>
      </c>
      <c r="H18" s="4"/>
      <c r="I18" s="9" t="e">
        <f t="shared" ref="I18" si="106">H18/$Z18</f>
        <v>#DIV/0!</v>
      </c>
      <c r="J18" s="4"/>
      <c r="K18" s="9" t="e">
        <f t="shared" ref="K18" si="107">J18/$Z18</f>
        <v>#DIV/0!</v>
      </c>
      <c r="L18" s="4"/>
      <c r="M18" s="9" t="e">
        <f t="shared" ref="M18" si="108">L18/$Z18</f>
        <v>#DIV/0!</v>
      </c>
      <c r="N18" s="4"/>
      <c r="O18" s="9" t="e">
        <f t="shared" ref="O18" si="109">N18/$Z18</f>
        <v>#DIV/0!</v>
      </c>
      <c r="P18" s="4"/>
      <c r="Q18" s="9" t="e">
        <f t="shared" ref="Q18" si="110">P18/$Z18</f>
        <v>#DIV/0!</v>
      </c>
      <c r="R18" s="4"/>
      <c r="S18" s="9" t="e">
        <f t="shared" ref="S18" si="111">R18/$Z18</f>
        <v>#DIV/0!</v>
      </c>
      <c r="T18" s="4"/>
      <c r="U18" s="9" t="e">
        <f t="shared" ref="U18" si="112">T18/$Z18</f>
        <v>#DIV/0!</v>
      </c>
      <c r="V18" s="4"/>
      <c r="W18" s="9" t="e">
        <f t="shared" ref="W18" si="113">V18/$Z18</f>
        <v>#DIV/0!</v>
      </c>
      <c r="X18" s="4"/>
      <c r="Y18" s="9" t="e">
        <f t="shared" ref="Y18" si="114">X18/$Z18</f>
        <v>#DIV/0!</v>
      </c>
      <c r="Z18" s="5">
        <f t="shared" si="0"/>
        <v>0</v>
      </c>
      <c r="AA18" s="10" t="e">
        <f t="shared" si="13"/>
        <v>#DIV/0!</v>
      </c>
    </row>
    <row r="19" spans="1:27">
      <c r="A19" s="3" t="s">
        <v>25</v>
      </c>
      <c r="B19" s="4"/>
      <c r="C19" s="9">
        <f t="shared" si="1"/>
        <v>0</v>
      </c>
      <c r="D19" s="4"/>
      <c r="E19" s="9">
        <f t="shared" ref="E19" si="115">D19/$Z19</f>
        <v>0</v>
      </c>
      <c r="F19" s="4"/>
      <c r="G19" s="9">
        <f t="shared" ref="G19" si="116">F19/$Z19</f>
        <v>0</v>
      </c>
      <c r="H19" s="4"/>
      <c r="I19" s="9">
        <f t="shared" ref="I19" si="117">H19/$Z19</f>
        <v>0</v>
      </c>
      <c r="J19" s="5">
        <f>13925</f>
        <v>13925</v>
      </c>
      <c r="K19" s="9">
        <f t="shared" ref="K19" si="118">J19/$Z19</f>
        <v>0.47089704110956532</v>
      </c>
      <c r="L19" s="5">
        <f>3750</f>
        <v>3750</v>
      </c>
      <c r="M19" s="9">
        <f t="shared" ref="M19" si="119">L19/$Z19</f>
        <v>0.12681248862914685</v>
      </c>
      <c r="N19" s="5">
        <f>6625</f>
        <v>6625</v>
      </c>
      <c r="O19" s="9">
        <f t="shared" ref="O19" si="120">N19/$Z19</f>
        <v>0.22403539657815943</v>
      </c>
      <c r="P19" s="5">
        <f>3150</f>
        <v>3150</v>
      </c>
      <c r="Q19" s="9">
        <f t="shared" ref="Q19" si="121">P19/$Z19</f>
        <v>0.10652249044848336</v>
      </c>
      <c r="R19" s="5">
        <f>1946.22</f>
        <v>1946.22</v>
      </c>
      <c r="S19" s="9">
        <f t="shared" ref="S19" si="122">R19/$Z19</f>
        <v>6.5814667098618176E-2</v>
      </c>
      <c r="T19" s="5">
        <f>175</f>
        <v>175</v>
      </c>
      <c r="U19" s="9">
        <f t="shared" ref="U19" si="123">T19/$Z19</f>
        <v>5.9179161360268526E-3</v>
      </c>
      <c r="V19" s="4"/>
      <c r="W19" s="9">
        <f t="shared" ref="W19" si="124">V19/$Z19</f>
        <v>0</v>
      </c>
      <c r="X19" s="4"/>
      <c r="Y19" s="9">
        <f t="shared" ref="Y19" si="125">X19/$Z19</f>
        <v>0</v>
      </c>
      <c r="Z19" s="5">
        <f t="shared" si="0"/>
        <v>29571.22</v>
      </c>
      <c r="AA19" s="10">
        <f t="shared" si="13"/>
        <v>1</v>
      </c>
    </row>
    <row r="20" spans="1:27">
      <c r="A20" s="3" t="s">
        <v>26</v>
      </c>
      <c r="B20" s="4"/>
      <c r="C20" s="9">
        <f t="shared" si="1"/>
        <v>0</v>
      </c>
      <c r="D20" s="4"/>
      <c r="E20" s="9">
        <f t="shared" ref="E20" si="126">D20/$Z20</f>
        <v>0</v>
      </c>
      <c r="F20" s="4"/>
      <c r="G20" s="9">
        <f t="shared" ref="G20" si="127">F20/$Z20</f>
        <v>0</v>
      </c>
      <c r="H20" s="4"/>
      <c r="I20" s="9">
        <f t="shared" ref="I20" si="128">H20/$Z20</f>
        <v>0</v>
      </c>
      <c r="J20" s="5">
        <f>-100</f>
        <v>-100</v>
      </c>
      <c r="K20" s="9">
        <f t="shared" ref="K20" si="129">J20/$Z20</f>
        <v>2.1044789625760507E-2</v>
      </c>
      <c r="L20" s="4"/>
      <c r="M20" s="9">
        <f t="shared" ref="M20" si="130">L20/$Z20</f>
        <v>0</v>
      </c>
      <c r="N20" s="5">
        <f>-15.78</f>
        <v>-15.78</v>
      </c>
      <c r="O20" s="9">
        <f t="shared" ref="O20" si="131">N20/$Z20</f>
        <v>3.3208678029450081E-3</v>
      </c>
      <c r="P20" s="4"/>
      <c r="Q20" s="9">
        <f t="shared" ref="Q20" si="132">P20/$Z20</f>
        <v>0</v>
      </c>
      <c r="R20" s="5">
        <f>-85</f>
        <v>-85</v>
      </c>
      <c r="S20" s="9">
        <f t="shared" ref="S20" si="133">R20/$Z20</f>
        <v>1.788807118189643E-2</v>
      </c>
      <c r="T20" s="5">
        <f>-4550.99</f>
        <v>-4550.99</v>
      </c>
      <c r="U20" s="9">
        <f t="shared" ref="U20" si="134">T20/$Z20</f>
        <v>0.95774627138939805</v>
      </c>
      <c r="V20" s="4"/>
      <c r="W20" s="9">
        <f t="shared" ref="W20" si="135">V20/$Z20</f>
        <v>0</v>
      </c>
      <c r="X20" s="4"/>
      <c r="Y20" s="9">
        <f t="shared" ref="Y20" si="136">X20/$Z20</f>
        <v>0</v>
      </c>
      <c r="Z20" s="5">
        <f t="shared" si="0"/>
        <v>-4751.7699999999995</v>
      </c>
      <c r="AA20" s="10">
        <f t="shared" si="13"/>
        <v>1</v>
      </c>
    </row>
    <row r="21" spans="1:27">
      <c r="A21" s="3" t="s">
        <v>27</v>
      </c>
      <c r="B21" s="6">
        <f t="shared" ref="B21:X21" si="137">((B18)+(B19))+(B20)</f>
        <v>0</v>
      </c>
      <c r="C21" s="9">
        <f t="shared" si="1"/>
        <v>0</v>
      </c>
      <c r="D21" s="6">
        <f t="shared" si="137"/>
        <v>0</v>
      </c>
      <c r="E21" s="9">
        <f t="shared" ref="E21" si="138">D21/$Z21</f>
        <v>0</v>
      </c>
      <c r="F21" s="6">
        <f t="shared" si="137"/>
        <v>0</v>
      </c>
      <c r="G21" s="9">
        <f t="shared" ref="G21" si="139">F21/$Z21</f>
        <v>0</v>
      </c>
      <c r="H21" s="6">
        <f t="shared" si="137"/>
        <v>0</v>
      </c>
      <c r="I21" s="9">
        <f t="shared" ref="I21" si="140">H21/$Z21</f>
        <v>0</v>
      </c>
      <c r="J21" s="6">
        <f t="shared" si="137"/>
        <v>13825</v>
      </c>
      <c r="K21" s="9">
        <f t="shared" ref="K21" si="141">J21/$Z21</f>
        <v>0.55702281879735438</v>
      </c>
      <c r="L21" s="6">
        <f t="shared" si="137"/>
        <v>3750</v>
      </c>
      <c r="M21" s="9">
        <f t="shared" ref="M21" si="142">L21/$Z21</f>
        <v>0.15109118050561149</v>
      </c>
      <c r="N21" s="6">
        <f t="shared" si="137"/>
        <v>6609.22</v>
      </c>
      <c r="O21" s="9">
        <f t="shared" ref="O21" si="143">N21/$Z21</f>
        <v>0.26629196053901272</v>
      </c>
      <c r="P21" s="6">
        <f t="shared" si="137"/>
        <v>3150</v>
      </c>
      <c r="Q21" s="9">
        <f t="shared" ref="Q21" si="144">P21/$Z21</f>
        <v>0.12691659162471366</v>
      </c>
      <c r="R21" s="6">
        <f t="shared" si="137"/>
        <v>1861.22</v>
      </c>
      <c r="S21" s="9">
        <f t="shared" ref="S21" si="145">R21/$Z21</f>
        <v>7.4990380528174458E-2</v>
      </c>
      <c r="T21" s="6">
        <f t="shared" si="137"/>
        <v>-4375.99</v>
      </c>
      <c r="U21" s="9">
        <f t="shared" ref="U21" si="146">T21/$Z21</f>
        <v>-0.17631293199486689</v>
      </c>
      <c r="V21" s="6">
        <f t="shared" si="137"/>
        <v>0</v>
      </c>
      <c r="W21" s="9">
        <f t="shared" ref="W21" si="147">V21/$Z21</f>
        <v>0</v>
      </c>
      <c r="X21" s="6">
        <f t="shared" si="137"/>
        <v>0</v>
      </c>
      <c r="Y21" s="9">
        <f t="shared" ref="Y21" si="148">X21/$Z21</f>
        <v>0</v>
      </c>
      <c r="Z21" s="6">
        <f t="shared" si="0"/>
        <v>24819.450000000004</v>
      </c>
      <c r="AA21" s="10">
        <f t="shared" si="13"/>
        <v>0.99999999999999978</v>
      </c>
    </row>
    <row r="22" spans="1:27">
      <c r="A22" s="3" t="s">
        <v>28</v>
      </c>
      <c r="B22" s="4"/>
      <c r="C22" s="9" t="e">
        <f t="shared" si="1"/>
        <v>#DIV/0!</v>
      </c>
      <c r="D22" s="4"/>
      <c r="E22" s="9" t="e">
        <f t="shared" ref="E22" si="149">D22/$Z22</f>
        <v>#DIV/0!</v>
      </c>
      <c r="F22" s="4"/>
      <c r="G22" s="9" t="e">
        <f t="shared" ref="G22" si="150">F22/$Z22</f>
        <v>#DIV/0!</v>
      </c>
      <c r="H22" s="4"/>
      <c r="I22" s="9" t="e">
        <f t="shared" ref="I22" si="151">H22/$Z22</f>
        <v>#DIV/0!</v>
      </c>
      <c r="J22" s="4"/>
      <c r="K22" s="9" t="e">
        <f t="shared" ref="K22" si="152">J22/$Z22</f>
        <v>#DIV/0!</v>
      </c>
      <c r="L22" s="4"/>
      <c r="M22" s="9" t="e">
        <f t="shared" ref="M22" si="153">L22/$Z22</f>
        <v>#DIV/0!</v>
      </c>
      <c r="N22" s="4"/>
      <c r="O22" s="9" t="e">
        <f t="shared" ref="O22" si="154">N22/$Z22</f>
        <v>#DIV/0!</v>
      </c>
      <c r="P22" s="4"/>
      <c r="Q22" s="9" t="e">
        <f t="shared" ref="Q22" si="155">P22/$Z22</f>
        <v>#DIV/0!</v>
      </c>
      <c r="R22" s="4"/>
      <c r="S22" s="9" t="e">
        <f t="shared" ref="S22" si="156">R22/$Z22</f>
        <v>#DIV/0!</v>
      </c>
      <c r="T22" s="4"/>
      <c r="U22" s="9" t="e">
        <f t="shared" ref="U22" si="157">T22/$Z22</f>
        <v>#DIV/0!</v>
      </c>
      <c r="V22" s="4"/>
      <c r="W22" s="9" t="e">
        <f t="shared" ref="W22" si="158">V22/$Z22</f>
        <v>#DIV/0!</v>
      </c>
      <c r="X22" s="4"/>
      <c r="Y22" s="9" t="e">
        <f t="shared" ref="Y22" si="159">X22/$Z22</f>
        <v>#DIV/0!</v>
      </c>
      <c r="Z22" s="5">
        <f t="shared" si="0"/>
        <v>0</v>
      </c>
      <c r="AA22" s="10" t="e">
        <f t="shared" si="13"/>
        <v>#DIV/0!</v>
      </c>
    </row>
    <row r="23" spans="1:27">
      <c r="A23" s="3" t="s">
        <v>29</v>
      </c>
      <c r="B23" s="4"/>
      <c r="C23" s="9">
        <f t="shared" si="1"/>
        <v>0</v>
      </c>
      <c r="D23" s="5">
        <f>100</f>
        <v>100</v>
      </c>
      <c r="E23" s="9">
        <f t="shared" ref="E23" si="160">D23/$Z23</f>
        <v>1</v>
      </c>
      <c r="F23" s="4"/>
      <c r="G23" s="9">
        <f t="shared" ref="G23" si="161">F23/$Z23</f>
        <v>0</v>
      </c>
      <c r="H23" s="4"/>
      <c r="I23" s="9">
        <f t="shared" ref="I23" si="162">H23/$Z23</f>
        <v>0</v>
      </c>
      <c r="J23" s="4"/>
      <c r="K23" s="9">
        <f t="shared" ref="K23" si="163">J23/$Z23</f>
        <v>0</v>
      </c>
      <c r="L23" s="4"/>
      <c r="M23" s="9">
        <f t="shared" ref="M23" si="164">L23/$Z23</f>
        <v>0</v>
      </c>
      <c r="N23" s="4"/>
      <c r="O23" s="9">
        <f t="shared" ref="O23" si="165">N23/$Z23</f>
        <v>0</v>
      </c>
      <c r="P23" s="4"/>
      <c r="Q23" s="9">
        <f t="shared" ref="Q23" si="166">P23/$Z23</f>
        <v>0</v>
      </c>
      <c r="R23" s="4"/>
      <c r="S23" s="9">
        <f t="shared" ref="S23" si="167">R23/$Z23</f>
        <v>0</v>
      </c>
      <c r="T23" s="4"/>
      <c r="U23" s="9">
        <f t="shared" ref="U23" si="168">T23/$Z23</f>
        <v>0</v>
      </c>
      <c r="V23" s="4"/>
      <c r="W23" s="9">
        <f t="shared" ref="W23" si="169">V23/$Z23</f>
        <v>0</v>
      </c>
      <c r="X23" s="4"/>
      <c r="Y23" s="9">
        <f t="shared" ref="Y23" si="170">X23/$Z23</f>
        <v>0</v>
      </c>
      <c r="Z23" s="5">
        <f t="shared" si="0"/>
        <v>100</v>
      </c>
      <c r="AA23" s="10">
        <f t="shared" si="13"/>
        <v>1</v>
      </c>
    </row>
    <row r="24" spans="1:27">
      <c r="A24" s="3" t="s">
        <v>30</v>
      </c>
      <c r="B24" s="4"/>
      <c r="C24" s="9">
        <f t="shared" si="1"/>
        <v>0</v>
      </c>
      <c r="D24" s="4"/>
      <c r="E24" s="9">
        <f t="shared" ref="E24" si="171">D24/$Z24</f>
        <v>0</v>
      </c>
      <c r="F24" s="4"/>
      <c r="G24" s="9">
        <f t="shared" ref="G24" si="172">F24/$Z24</f>
        <v>0</v>
      </c>
      <c r="H24" s="4"/>
      <c r="I24" s="9">
        <f t="shared" ref="I24" si="173">H24/$Z24</f>
        <v>0</v>
      </c>
      <c r="J24" s="4"/>
      <c r="K24" s="9">
        <f t="shared" ref="K24" si="174">J24/$Z24</f>
        <v>0</v>
      </c>
      <c r="L24" s="4"/>
      <c r="M24" s="9">
        <f t="shared" ref="M24" si="175">L24/$Z24</f>
        <v>0</v>
      </c>
      <c r="N24" s="5">
        <f>310</f>
        <v>310</v>
      </c>
      <c r="O24" s="9">
        <f t="shared" ref="O24" si="176">N24/$Z24</f>
        <v>0.26382978723404255</v>
      </c>
      <c r="P24" s="5">
        <f>865</f>
        <v>865</v>
      </c>
      <c r="Q24" s="9">
        <f t="shared" ref="Q24" si="177">P24/$Z24</f>
        <v>0.7361702127659574</v>
      </c>
      <c r="R24" s="4"/>
      <c r="S24" s="9">
        <f t="shared" ref="S24" si="178">R24/$Z24</f>
        <v>0</v>
      </c>
      <c r="T24" s="4"/>
      <c r="U24" s="9">
        <f t="shared" ref="U24" si="179">T24/$Z24</f>
        <v>0</v>
      </c>
      <c r="V24" s="4"/>
      <c r="W24" s="9">
        <f t="shared" ref="W24" si="180">V24/$Z24</f>
        <v>0</v>
      </c>
      <c r="X24" s="4"/>
      <c r="Y24" s="9">
        <f t="shared" ref="Y24" si="181">X24/$Z24</f>
        <v>0</v>
      </c>
      <c r="Z24" s="5">
        <f t="shared" si="0"/>
        <v>1175</v>
      </c>
      <c r="AA24" s="10">
        <f t="shared" si="13"/>
        <v>1</v>
      </c>
    </row>
    <row r="25" spans="1:27">
      <c r="A25" s="3" t="s">
        <v>31</v>
      </c>
      <c r="B25" s="5">
        <f>-117.94</f>
        <v>-117.94</v>
      </c>
      <c r="C25" s="9">
        <f t="shared" si="1"/>
        <v>0.63727238342248882</v>
      </c>
      <c r="D25" s="4"/>
      <c r="E25" s="9">
        <f t="shared" ref="E25" si="182">D25/$Z25</f>
        <v>0</v>
      </c>
      <c r="F25" s="4"/>
      <c r="G25" s="9">
        <f t="shared" ref="G25" si="183">F25/$Z25</f>
        <v>0</v>
      </c>
      <c r="H25" s="4"/>
      <c r="I25" s="9">
        <f t="shared" ref="I25" si="184">H25/$Z25</f>
        <v>0</v>
      </c>
      <c r="J25" s="4"/>
      <c r="K25" s="9">
        <f t="shared" ref="K25" si="185">J25/$Z25</f>
        <v>0</v>
      </c>
      <c r="L25" s="4"/>
      <c r="M25" s="9">
        <f t="shared" ref="M25" si="186">L25/$Z25</f>
        <v>0</v>
      </c>
      <c r="N25" s="4"/>
      <c r="O25" s="9">
        <f t="shared" ref="O25" si="187">N25/$Z25</f>
        <v>0</v>
      </c>
      <c r="P25" s="4"/>
      <c r="Q25" s="9">
        <f t="shared" ref="Q25" si="188">P25/$Z25</f>
        <v>0</v>
      </c>
      <c r="R25" s="5">
        <f>-67.13</f>
        <v>-67.13</v>
      </c>
      <c r="S25" s="9">
        <f t="shared" ref="S25" si="189">R25/$Z25</f>
        <v>0.36272761657751118</v>
      </c>
      <c r="T25" s="4"/>
      <c r="U25" s="9">
        <f t="shared" ref="U25" si="190">T25/$Z25</f>
        <v>0</v>
      </c>
      <c r="V25" s="4"/>
      <c r="W25" s="9">
        <f t="shared" ref="W25" si="191">V25/$Z25</f>
        <v>0</v>
      </c>
      <c r="X25" s="4"/>
      <c r="Y25" s="9">
        <f t="shared" ref="Y25" si="192">X25/$Z25</f>
        <v>0</v>
      </c>
      <c r="Z25" s="5">
        <f t="shared" si="0"/>
        <v>-185.07</v>
      </c>
      <c r="AA25" s="10">
        <f t="shared" si="13"/>
        <v>1</v>
      </c>
    </row>
    <row r="26" spans="1:27">
      <c r="A26" s="3" t="s">
        <v>32</v>
      </c>
      <c r="B26" s="4"/>
      <c r="C26" s="9">
        <f t="shared" si="1"/>
        <v>0</v>
      </c>
      <c r="D26" s="4"/>
      <c r="E26" s="9">
        <f t="shared" ref="E26" si="193">D26/$Z26</f>
        <v>0</v>
      </c>
      <c r="F26" s="4"/>
      <c r="G26" s="9">
        <f t="shared" ref="G26" si="194">F26/$Z26</f>
        <v>0</v>
      </c>
      <c r="H26" s="4"/>
      <c r="I26" s="9">
        <f t="shared" ref="I26" si="195">H26/$Z26</f>
        <v>0</v>
      </c>
      <c r="J26" s="4"/>
      <c r="K26" s="9">
        <f t="shared" ref="K26" si="196">J26/$Z26</f>
        <v>0</v>
      </c>
      <c r="L26" s="4"/>
      <c r="M26" s="9">
        <f t="shared" ref="M26" si="197">L26/$Z26</f>
        <v>0</v>
      </c>
      <c r="N26" s="4"/>
      <c r="O26" s="9">
        <f t="shared" ref="O26" si="198">N26/$Z26</f>
        <v>0</v>
      </c>
      <c r="P26" s="4"/>
      <c r="Q26" s="9">
        <f t="shared" ref="Q26" si="199">P26/$Z26</f>
        <v>0</v>
      </c>
      <c r="R26" s="5">
        <f>30</f>
        <v>30</v>
      </c>
      <c r="S26" s="9">
        <f t="shared" ref="S26" si="200">R26/$Z26</f>
        <v>1</v>
      </c>
      <c r="T26" s="4"/>
      <c r="U26" s="9">
        <f t="shared" ref="U26" si="201">T26/$Z26</f>
        <v>0</v>
      </c>
      <c r="V26" s="4"/>
      <c r="W26" s="9">
        <f t="shared" ref="W26" si="202">V26/$Z26</f>
        <v>0</v>
      </c>
      <c r="X26" s="4"/>
      <c r="Y26" s="9">
        <f t="shared" ref="Y26" si="203">X26/$Z26</f>
        <v>0</v>
      </c>
      <c r="Z26" s="5">
        <f t="shared" si="0"/>
        <v>30</v>
      </c>
      <c r="AA26" s="10">
        <f t="shared" si="13"/>
        <v>1</v>
      </c>
    </row>
    <row r="27" spans="1:27">
      <c r="A27" s="3" t="s">
        <v>33</v>
      </c>
      <c r="B27" s="6">
        <f t="shared" ref="B27:X27" si="204">((((B22)+(B23))+(B24))+(B25))+(B26)</f>
        <v>-117.94</v>
      </c>
      <c r="C27" s="9">
        <f t="shared" si="1"/>
        <v>-0.10531015331315352</v>
      </c>
      <c r="D27" s="6">
        <f t="shared" si="204"/>
        <v>100</v>
      </c>
      <c r="E27" s="9">
        <f t="shared" ref="E27" si="205">D27/$Z27</f>
        <v>8.9291294991651282E-2</v>
      </c>
      <c r="F27" s="6">
        <f t="shared" si="204"/>
        <v>0</v>
      </c>
      <c r="G27" s="9">
        <f t="shared" ref="G27" si="206">F27/$Z27</f>
        <v>0</v>
      </c>
      <c r="H27" s="6">
        <f t="shared" si="204"/>
        <v>0</v>
      </c>
      <c r="I27" s="9">
        <f t="shared" ref="I27" si="207">H27/$Z27</f>
        <v>0</v>
      </c>
      <c r="J27" s="6">
        <f t="shared" si="204"/>
        <v>0</v>
      </c>
      <c r="K27" s="9">
        <f t="shared" ref="K27" si="208">J27/$Z27</f>
        <v>0</v>
      </c>
      <c r="L27" s="6">
        <f t="shared" si="204"/>
        <v>0</v>
      </c>
      <c r="M27" s="9">
        <f t="shared" ref="M27" si="209">L27/$Z27</f>
        <v>0</v>
      </c>
      <c r="N27" s="6">
        <f t="shared" si="204"/>
        <v>310</v>
      </c>
      <c r="O27" s="9">
        <f t="shared" ref="O27" si="210">N27/$Z27</f>
        <v>0.27680301447411898</v>
      </c>
      <c r="P27" s="6">
        <f t="shared" si="204"/>
        <v>865</v>
      </c>
      <c r="Q27" s="9">
        <f t="shared" ref="Q27" si="211">P27/$Z27</f>
        <v>0.77236970167778352</v>
      </c>
      <c r="R27" s="6">
        <f t="shared" si="204"/>
        <v>-37.129999999999995</v>
      </c>
      <c r="S27" s="9">
        <f t="shared" ref="S27" si="212">R27/$Z27</f>
        <v>-3.3153857830400112E-2</v>
      </c>
      <c r="T27" s="6">
        <f t="shared" si="204"/>
        <v>0</v>
      </c>
      <c r="U27" s="9">
        <f t="shared" ref="U27" si="213">T27/$Z27</f>
        <v>0</v>
      </c>
      <c r="V27" s="6">
        <f t="shared" si="204"/>
        <v>0</v>
      </c>
      <c r="W27" s="9">
        <f t="shared" ref="W27" si="214">V27/$Z27</f>
        <v>0</v>
      </c>
      <c r="X27" s="6">
        <f t="shared" si="204"/>
        <v>0</v>
      </c>
      <c r="Y27" s="9">
        <f t="shared" ref="Y27" si="215">X27/$Z27</f>
        <v>0</v>
      </c>
      <c r="Z27" s="6">
        <f t="shared" si="0"/>
        <v>1119.9299999999998</v>
      </c>
      <c r="AA27" s="10">
        <f t="shared" si="13"/>
        <v>1.0000000000000002</v>
      </c>
    </row>
    <row r="28" spans="1:27">
      <c r="A28" s="3" t="s">
        <v>34</v>
      </c>
      <c r="B28" s="4"/>
      <c r="C28" s="9" t="e">
        <f t="shared" si="1"/>
        <v>#DIV/0!</v>
      </c>
      <c r="D28" s="4"/>
      <c r="E28" s="9" t="e">
        <f t="shared" ref="E28" si="216">D28/$Z28</f>
        <v>#DIV/0!</v>
      </c>
      <c r="F28" s="4"/>
      <c r="G28" s="9" t="e">
        <f t="shared" ref="G28" si="217">F28/$Z28</f>
        <v>#DIV/0!</v>
      </c>
      <c r="H28" s="4"/>
      <c r="I28" s="9" t="e">
        <f t="shared" ref="I28" si="218">H28/$Z28</f>
        <v>#DIV/0!</v>
      </c>
      <c r="J28" s="4"/>
      <c r="K28" s="9" t="e">
        <f t="shared" ref="K28" si="219">J28/$Z28</f>
        <v>#DIV/0!</v>
      </c>
      <c r="L28" s="4"/>
      <c r="M28" s="9" t="e">
        <f t="shared" ref="M28" si="220">L28/$Z28</f>
        <v>#DIV/0!</v>
      </c>
      <c r="N28" s="4"/>
      <c r="O28" s="9" t="e">
        <f t="shared" ref="O28" si="221">N28/$Z28</f>
        <v>#DIV/0!</v>
      </c>
      <c r="P28" s="4"/>
      <c r="Q28" s="9" t="e">
        <f t="shared" ref="Q28" si="222">P28/$Z28</f>
        <v>#DIV/0!</v>
      </c>
      <c r="R28" s="4"/>
      <c r="S28" s="9" t="e">
        <f t="shared" ref="S28" si="223">R28/$Z28</f>
        <v>#DIV/0!</v>
      </c>
      <c r="T28" s="4"/>
      <c r="U28" s="9" t="e">
        <f t="shared" ref="U28" si="224">T28/$Z28</f>
        <v>#DIV/0!</v>
      </c>
      <c r="V28" s="4"/>
      <c r="W28" s="9" t="e">
        <f t="shared" ref="W28" si="225">V28/$Z28</f>
        <v>#DIV/0!</v>
      </c>
      <c r="X28" s="4"/>
      <c r="Y28" s="9" t="e">
        <f t="shared" ref="Y28" si="226">X28/$Z28</f>
        <v>#DIV/0!</v>
      </c>
      <c r="Z28" s="5">
        <f t="shared" si="0"/>
        <v>0</v>
      </c>
      <c r="AA28" s="10" t="e">
        <f t="shared" si="13"/>
        <v>#DIV/0!</v>
      </c>
    </row>
    <row r="29" spans="1:27">
      <c r="A29" s="3" t="s">
        <v>35</v>
      </c>
      <c r="B29" s="4"/>
      <c r="C29" s="9">
        <f t="shared" si="1"/>
        <v>0</v>
      </c>
      <c r="D29" s="4"/>
      <c r="E29" s="9">
        <f t="shared" ref="E29" si="227">D29/$Z29</f>
        <v>0</v>
      </c>
      <c r="F29" s="4"/>
      <c r="G29" s="9">
        <f t="shared" ref="G29" si="228">F29/$Z29</f>
        <v>0</v>
      </c>
      <c r="H29" s="4"/>
      <c r="I29" s="9">
        <f t="shared" ref="I29" si="229">H29/$Z29</f>
        <v>0</v>
      </c>
      <c r="J29" s="4"/>
      <c r="K29" s="9">
        <f t="shared" ref="K29" si="230">J29/$Z29</f>
        <v>0</v>
      </c>
      <c r="L29" s="4"/>
      <c r="M29" s="9">
        <f t="shared" ref="M29" si="231">L29/$Z29</f>
        <v>0</v>
      </c>
      <c r="N29" s="4"/>
      <c r="O29" s="9">
        <f t="shared" ref="O29" si="232">N29/$Z29</f>
        <v>0</v>
      </c>
      <c r="P29" s="4"/>
      <c r="Q29" s="9">
        <f t="shared" ref="Q29" si="233">P29/$Z29</f>
        <v>0</v>
      </c>
      <c r="R29" s="5">
        <f>2000</f>
        <v>2000</v>
      </c>
      <c r="S29" s="9">
        <f t="shared" ref="S29" si="234">R29/$Z29</f>
        <v>0.11267605633802817</v>
      </c>
      <c r="T29" s="5">
        <f>3725</f>
        <v>3725</v>
      </c>
      <c r="U29" s="9">
        <f t="shared" ref="U29" si="235">T29/$Z29</f>
        <v>0.20985915492957746</v>
      </c>
      <c r="V29" s="5">
        <f>8025</f>
        <v>8025</v>
      </c>
      <c r="W29" s="9">
        <f t="shared" ref="W29" si="236">V29/$Z29</f>
        <v>0.45211267605633804</v>
      </c>
      <c r="X29" s="5">
        <f>4000</f>
        <v>4000</v>
      </c>
      <c r="Y29" s="9">
        <f t="shared" ref="Y29" si="237">X29/$Z29</f>
        <v>0.22535211267605634</v>
      </c>
      <c r="Z29" s="5">
        <f t="shared" si="0"/>
        <v>17750</v>
      </c>
      <c r="AA29" s="10">
        <f t="shared" si="13"/>
        <v>1</v>
      </c>
    </row>
    <row r="30" spans="1:27">
      <c r="A30" s="3" t="s">
        <v>36</v>
      </c>
      <c r="B30" s="4"/>
      <c r="C30" s="9">
        <f t="shared" si="1"/>
        <v>0</v>
      </c>
      <c r="D30" s="4"/>
      <c r="E30" s="9">
        <f t="shared" ref="E30" si="238">D30/$Z30</f>
        <v>0</v>
      </c>
      <c r="F30" s="4"/>
      <c r="G30" s="9">
        <f t="shared" ref="G30" si="239">F30/$Z30</f>
        <v>0</v>
      </c>
      <c r="H30" s="4"/>
      <c r="I30" s="9">
        <f t="shared" ref="I30" si="240">H30/$Z30</f>
        <v>0</v>
      </c>
      <c r="J30" s="4"/>
      <c r="K30" s="9">
        <f t="shared" ref="K30" si="241">J30/$Z30</f>
        <v>0</v>
      </c>
      <c r="L30" s="4"/>
      <c r="M30" s="9">
        <f t="shared" ref="M30" si="242">L30/$Z30</f>
        <v>0</v>
      </c>
      <c r="N30" s="4"/>
      <c r="O30" s="9">
        <f t="shared" ref="O30" si="243">N30/$Z30</f>
        <v>0</v>
      </c>
      <c r="P30" s="4"/>
      <c r="Q30" s="9">
        <f t="shared" ref="Q30" si="244">P30/$Z30</f>
        <v>0</v>
      </c>
      <c r="R30" s="5">
        <f>250</f>
        <v>250</v>
      </c>
      <c r="S30" s="9">
        <f t="shared" ref="S30" si="245">R30/$Z30</f>
        <v>2.7855153203342618E-2</v>
      </c>
      <c r="T30" s="5">
        <f>5100</f>
        <v>5100</v>
      </c>
      <c r="U30" s="9">
        <f t="shared" ref="U30" si="246">T30/$Z30</f>
        <v>0.56824512534818938</v>
      </c>
      <c r="V30" s="5">
        <f>3375</f>
        <v>3375</v>
      </c>
      <c r="W30" s="9">
        <f t="shared" ref="W30" si="247">V30/$Z30</f>
        <v>0.37604456824512533</v>
      </c>
      <c r="X30" s="5">
        <f>250</f>
        <v>250</v>
      </c>
      <c r="Y30" s="9">
        <f t="shared" ref="Y30" si="248">X30/$Z30</f>
        <v>2.7855153203342618E-2</v>
      </c>
      <c r="Z30" s="5">
        <f t="shared" si="0"/>
        <v>8975</v>
      </c>
      <c r="AA30" s="10">
        <f t="shared" si="13"/>
        <v>1</v>
      </c>
    </row>
    <row r="31" spans="1:27">
      <c r="A31" s="3" t="s">
        <v>37</v>
      </c>
      <c r="B31" s="4"/>
      <c r="C31" s="9">
        <f t="shared" si="1"/>
        <v>0</v>
      </c>
      <c r="D31" s="4"/>
      <c r="E31" s="9">
        <f t="shared" ref="E31" si="249">D31/$Z31</f>
        <v>0</v>
      </c>
      <c r="F31" s="4"/>
      <c r="G31" s="9">
        <f t="shared" ref="G31" si="250">F31/$Z31</f>
        <v>0</v>
      </c>
      <c r="H31" s="4"/>
      <c r="I31" s="9">
        <f t="shared" ref="I31" si="251">H31/$Z31</f>
        <v>0</v>
      </c>
      <c r="J31" s="4"/>
      <c r="K31" s="9">
        <f t="shared" ref="K31" si="252">J31/$Z31</f>
        <v>0</v>
      </c>
      <c r="L31" s="4"/>
      <c r="M31" s="9">
        <f t="shared" ref="M31" si="253">L31/$Z31</f>
        <v>0</v>
      </c>
      <c r="N31" s="4"/>
      <c r="O31" s="9">
        <f t="shared" ref="O31" si="254">N31/$Z31</f>
        <v>0</v>
      </c>
      <c r="P31" s="4"/>
      <c r="Q31" s="9">
        <f t="shared" ref="Q31" si="255">P31/$Z31</f>
        <v>0</v>
      </c>
      <c r="R31" s="4"/>
      <c r="S31" s="9">
        <f t="shared" ref="S31" si="256">R31/$Z31</f>
        <v>0</v>
      </c>
      <c r="T31" s="5">
        <f>-6492.64</f>
        <v>-6492.64</v>
      </c>
      <c r="U31" s="9">
        <f t="shared" ref="U31" si="257">T31/$Z31</f>
        <v>0.23580420301713914</v>
      </c>
      <c r="V31" s="5">
        <f>-90.81</f>
        <v>-90.81</v>
      </c>
      <c r="W31" s="9">
        <f t="shared" ref="W31" si="258">V31/$Z31</f>
        <v>3.298100568641786E-3</v>
      </c>
      <c r="X31" s="5">
        <f>-20950.58</f>
        <v>-20950.580000000002</v>
      </c>
      <c r="Y31" s="9">
        <f t="shared" ref="Y31" si="259">X31/$Z31</f>
        <v>0.760897696414219</v>
      </c>
      <c r="Z31" s="5">
        <f t="shared" si="0"/>
        <v>-27534.030000000002</v>
      </c>
      <c r="AA31" s="10">
        <f t="shared" si="13"/>
        <v>1</v>
      </c>
    </row>
    <row r="32" spans="1:27">
      <c r="A32" s="3" t="s">
        <v>38</v>
      </c>
      <c r="B32" s="6">
        <f t="shared" ref="B32:X32" si="260">(((B28)+(B29))+(B30))+(B31)</f>
        <v>0</v>
      </c>
      <c r="C32" s="9">
        <f t="shared" si="1"/>
        <v>0</v>
      </c>
      <c r="D32" s="6">
        <f t="shared" si="260"/>
        <v>0</v>
      </c>
      <c r="E32" s="9">
        <f t="shared" ref="E32" si="261">D32/$Z32</f>
        <v>0</v>
      </c>
      <c r="F32" s="6">
        <f t="shared" si="260"/>
        <v>0</v>
      </c>
      <c r="G32" s="9">
        <f t="shared" ref="G32" si="262">F32/$Z32</f>
        <v>0</v>
      </c>
      <c r="H32" s="6">
        <f t="shared" si="260"/>
        <v>0</v>
      </c>
      <c r="I32" s="9">
        <f t="shared" ref="I32" si="263">H32/$Z32</f>
        <v>0</v>
      </c>
      <c r="J32" s="6">
        <f t="shared" si="260"/>
        <v>0</v>
      </c>
      <c r="K32" s="9">
        <f t="shared" ref="K32" si="264">J32/$Z32</f>
        <v>0</v>
      </c>
      <c r="L32" s="6">
        <f t="shared" si="260"/>
        <v>0</v>
      </c>
      <c r="M32" s="9">
        <f t="shared" ref="M32" si="265">L32/$Z32</f>
        <v>0</v>
      </c>
      <c r="N32" s="6">
        <f t="shared" si="260"/>
        <v>0</v>
      </c>
      <c r="O32" s="9">
        <f t="shared" ref="O32" si="266">N32/$Z32</f>
        <v>0</v>
      </c>
      <c r="P32" s="6">
        <f t="shared" si="260"/>
        <v>0</v>
      </c>
      <c r="Q32" s="9">
        <f t="shared" ref="Q32" si="267">P32/$Z32</f>
        <v>0</v>
      </c>
      <c r="R32" s="6">
        <f t="shared" si="260"/>
        <v>2250</v>
      </c>
      <c r="S32" s="9">
        <f t="shared" ref="S32" si="268">R32/$Z32</f>
        <v>-2.781108240732721</v>
      </c>
      <c r="T32" s="6">
        <f t="shared" si="260"/>
        <v>2332.3599999999997</v>
      </c>
      <c r="U32" s="9">
        <f t="shared" ref="U32" si="269">T32/$Z32</f>
        <v>-2.8829091628246077</v>
      </c>
      <c r="V32" s="6">
        <f t="shared" si="260"/>
        <v>11309.19</v>
      </c>
      <c r="W32" s="9">
        <f t="shared" ref="W32" si="270">V32/$Z32</f>
        <v>-13.97870289111648</v>
      </c>
      <c r="X32" s="6">
        <f t="shared" si="260"/>
        <v>-16700.580000000002</v>
      </c>
      <c r="Y32" s="9">
        <f t="shared" ref="Y32" si="271">X32/$Z32</f>
        <v>20.642720294673808</v>
      </c>
      <c r="Z32" s="6">
        <f t="shared" si="0"/>
        <v>-809.03000000000247</v>
      </c>
      <c r="AA32" s="10">
        <f t="shared" si="13"/>
        <v>1</v>
      </c>
    </row>
    <row r="33" spans="1:27">
      <c r="A33" s="3" t="s">
        <v>39</v>
      </c>
      <c r="B33" s="4"/>
      <c r="C33" s="9" t="e">
        <f t="shared" si="1"/>
        <v>#DIV/0!</v>
      </c>
      <c r="D33" s="4"/>
      <c r="E33" s="9" t="e">
        <f t="shared" ref="E33" si="272">D33/$Z33</f>
        <v>#DIV/0!</v>
      </c>
      <c r="F33" s="4"/>
      <c r="G33" s="9" t="e">
        <f t="shared" ref="G33" si="273">F33/$Z33</f>
        <v>#DIV/0!</v>
      </c>
      <c r="H33" s="4"/>
      <c r="I33" s="9" t="e">
        <f t="shared" ref="I33" si="274">H33/$Z33</f>
        <v>#DIV/0!</v>
      </c>
      <c r="J33" s="4"/>
      <c r="K33" s="9" t="e">
        <f t="shared" ref="K33" si="275">J33/$Z33</f>
        <v>#DIV/0!</v>
      </c>
      <c r="L33" s="4"/>
      <c r="M33" s="9" t="e">
        <f t="shared" ref="M33" si="276">L33/$Z33</f>
        <v>#DIV/0!</v>
      </c>
      <c r="N33" s="4"/>
      <c r="O33" s="9" t="e">
        <f t="shared" ref="O33" si="277">N33/$Z33</f>
        <v>#DIV/0!</v>
      </c>
      <c r="P33" s="4"/>
      <c r="Q33" s="9" t="e">
        <f t="shared" ref="Q33" si="278">P33/$Z33</f>
        <v>#DIV/0!</v>
      </c>
      <c r="R33" s="4"/>
      <c r="S33" s="9" t="e">
        <f t="shared" ref="S33" si="279">R33/$Z33</f>
        <v>#DIV/0!</v>
      </c>
      <c r="T33" s="4"/>
      <c r="U33" s="9" t="e">
        <f t="shared" ref="U33" si="280">T33/$Z33</f>
        <v>#DIV/0!</v>
      </c>
      <c r="V33" s="4"/>
      <c r="W33" s="9" t="e">
        <f t="shared" ref="W33" si="281">V33/$Z33</f>
        <v>#DIV/0!</v>
      </c>
      <c r="X33" s="4"/>
      <c r="Y33" s="9" t="e">
        <f t="shared" ref="Y33" si="282">X33/$Z33</f>
        <v>#DIV/0!</v>
      </c>
      <c r="Z33" s="5">
        <f t="shared" si="0"/>
        <v>0</v>
      </c>
      <c r="AA33" s="10" t="e">
        <f t="shared" si="13"/>
        <v>#DIV/0!</v>
      </c>
    </row>
    <row r="34" spans="1:27">
      <c r="A34" s="3" t="s">
        <v>40</v>
      </c>
      <c r="B34" s="5">
        <f>67</f>
        <v>67</v>
      </c>
      <c r="C34" s="9">
        <f t="shared" si="1"/>
        <v>0.87012987012987009</v>
      </c>
      <c r="D34" s="5">
        <f>10</f>
        <v>10</v>
      </c>
      <c r="E34" s="9">
        <f t="shared" ref="E34" si="283">D34/$Z34</f>
        <v>0.12987012987012986</v>
      </c>
      <c r="F34" s="4"/>
      <c r="G34" s="9">
        <f t="shared" ref="G34" si="284">F34/$Z34</f>
        <v>0</v>
      </c>
      <c r="H34" s="4"/>
      <c r="I34" s="9">
        <f t="shared" ref="I34" si="285">H34/$Z34</f>
        <v>0</v>
      </c>
      <c r="J34" s="4"/>
      <c r="K34" s="9">
        <f t="shared" ref="K34" si="286">J34/$Z34</f>
        <v>0</v>
      </c>
      <c r="L34" s="4"/>
      <c r="M34" s="9">
        <f t="shared" ref="M34" si="287">L34/$Z34</f>
        <v>0</v>
      </c>
      <c r="N34" s="4"/>
      <c r="O34" s="9">
        <f t="shared" ref="O34" si="288">N34/$Z34</f>
        <v>0</v>
      </c>
      <c r="P34" s="4"/>
      <c r="Q34" s="9">
        <f t="shared" ref="Q34" si="289">P34/$Z34</f>
        <v>0</v>
      </c>
      <c r="R34" s="4"/>
      <c r="S34" s="9">
        <f t="shared" ref="S34" si="290">R34/$Z34</f>
        <v>0</v>
      </c>
      <c r="T34" s="4"/>
      <c r="U34" s="9">
        <f t="shared" ref="U34" si="291">T34/$Z34</f>
        <v>0</v>
      </c>
      <c r="V34" s="4"/>
      <c r="W34" s="9">
        <f t="shared" ref="W34" si="292">V34/$Z34</f>
        <v>0</v>
      </c>
      <c r="X34" s="4"/>
      <c r="Y34" s="9">
        <f t="shared" ref="Y34" si="293">X34/$Z34</f>
        <v>0</v>
      </c>
      <c r="Z34" s="5">
        <f t="shared" si="0"/>
        <v>77</v>
      </c>
      <c r="AA34" s="10">
        <f t="shared" si="13"/>
        <v>1</v>
      </c>
    </row>
    <row r="35" spans="1:27">
      <c r="A35" s="3" t="s">
        <v>41</v>
      </c>
      <c r="B35" s="4"/>
      <c r="C35" s="9">
        <f t="shared" si="1"/>
        <v>0</v>
      </c>
      <c r="D35" s="5">
        <f>-41.13</f>
        <v>-41.13</v>
      </c>
      <c r="E35" s="9">
        <f t="shared" ref="E35" si="294">D35/$Z35</f>
        <v>0.39212508342072649</v>
      </c>
      <c r="F35" s="4"/>
      <c r="G35" s="9">
        <f t="shared" ref="G35" si="295">F35/$Z35</f>
        <v>0</v>
      </c>
      <c r="H35" s="5">
        <f>-63.76</f>
        <v>-63.76</v>
      </c>
      <c r="I35" s="9">
        <f t="shared" ref="I35" si="296">H35/$Z35</f>
        <v>0.60787491657927351</v>
      </c>
      <c r="J35" s="4"/>
      <c r="K35" s="9">
        <f t="shared" ref="K35" si="297">J35/$Z35</f>
        <v>0</v>
      </c>
      <c r="L35" s="4"/>
      <c r="M35" s="9">
        <f t="shared" ref="M35" si="298">L35/$Z35</f>
        <v>0</v>
      </c>
      <c r="N35" s="4"/>
      <c r="O35" s="9">
        <f t="shared" ref="O35" si="299">N35/$Z35</f>
        <v>0</v>
      </c>
      <c r="P35" s="4"/>
      <c r="Q35" s="9">
        <f t="shared" ref="Q35" si="300">P35/$Z35</f>
        <v>0</v>
      </c>
      <c r="R35" s="4"/>
      <c r="S35" s="9">
        <f t="shared" ref="S35" si="301">R35/$Z35</f>
        <v>0</v>
      </c>
      <c r="T35" s="4"/>
      <c r="U35" s="9">
        <f t="shared" ref="U35" si="302">T35/$Z35</f>
        <v>0</v>
      </c>
      <c r="V35" s="4"/>
      <c r="W35" s="9">
        <f t="shared" ref="W35" si="303">V35/$Z35</f>
        <v>0</v>
      </c>
      <c r="X35" s="4"/>
      <c r="Y35" s="9">
        <f t="shared" ref="Y35" si="304">X35/$Z35</f>
        <v>0</v>
      </c>
      <c r="Z35" s="5">
        <f t="shared" si="0"/>
        <v>-104.89</v>
      </c>
      <c r="AA35" s="10">
        <f t="shared" si="13"/>
        <v>1</v>
      </c>
    </row>
    <row r="36" spans="1:27">
      <c r="A36" s="3" t="s">
        <v>42</v>
      </c>
      <c r="B36" s="6">
        <f t="shared" ref="B36:X36" si="305">((B33)+(B34))+(B35)</f>
        <v>67</v>
      </c>
      <c r="C36" s="9">
        <f t="shared" si="1"/>
        <v>-2.4022947292936534</v>
      </c>
      <c r="D36" s="6">
        <f t="shared" si="305"/>
        <v>-31.130000000000003</v>
      </c>
      <c r="E36" s="9">
        <f t="shared" ref="E36" si="306">D36/$Z36</f>
        <v>1.1161706704912155</v>
      </c>
      <c r="F36" s="6">
        <f t="shared" si="305"/>
        <v>0</v>
      </c>
      <c r="G36" s="9">
        <f t="shared" ref="G36" si="307">F36/$Z36</f>
        <v>0</v>
      </c>
      <c r="H36" s="6">
        <f t="shared" si="305"/>
        <v>-63.76</v>
      </c>
      <c r="I36" s="9">
        <f t="shared" ref="I36" si="308">H36/$Z36</f>
        <v>2.2861240588024381</v>
      </c>
      <c r="J36" s="6">
        <f t="shared" si="305"/>
        <v>0</v>
      </c>
      <c r="K36" s="9">
        <f t="shared" ref="K36" si="309">J36/$Z36</f>
        <v>0</v>
      </c>
      <c r="L36" s="6">
        <f t="shared" si="305"/>
        <v>0</v>
      </c>
      <c r="M36" s="9">
        <f t="shared" ref="M36" si="310">L36/$Z36</f>
        <v>0</v>
      </c>
      <c r="N36" s="6">
        <f t="shared" si="305"/>
        <v>0</v>
      </c>
      <c r="O36" s="9">
        <f t="shared" ref="O36" si="311">N36/$Z36</f>
        <v>0</v>
      </c>
      <c r="P36" s="6">
        <f t="shared" si="305"/>
        <v>0</v>
      </c>
      <c r="Q36" s="9">
        <f t="shared" ref="Q36" si="312">P36/$Z36</f>
        <v>0</v>
      </c>
      <c r="R36" s="6">
        <f t="shared" si="305"/>
        <v>0</v>
      </c>
      <c r="S36" s="9">
        <f t="shared" ref="S36" si="313">R36/$Z36</f>
        <v>0</v>
      </c>
      <c r="T36" s="6">
        <f t="shared" si="305"/>
        <v>0</v>
      </c>
      <c r="U36" s="9">
        <f t="shared" ref="U36" si="314">T36/$Z36</f>
        <v>0</v>
      </c>
      <c r="V36" s="6">
        <f t="shared" si="305"/>
        <v>0</v>
      </c>
      <c r="W36" s="9">
        <f t="shared" ref="W36" si="315">V36/$Z36</f>
        <v>0</v>
      </c>
      <c r="X36" s="6">
        <f t="shared" si="305"/>
        <v>0</v>
      </c>
      <c r="Y36" s="9">
        <f t="shared" ref="Y36" si="316">X36/$Z36</f>
        <v>0</v>
      </c>
      <c r="Z36" s="6">
        <f t="shared" si="0"/>
        <v>-27.89</v>
      </c>
      <c r="AA36" s="10">
        <f t="shared" si="13"/>
        <v>1.0000000000000002</v>
      </c>
    </row>
    <row r="37" spans="1:27">
      <c r="A37" s="3" t="s">
        <v>43</v>
      </c>
      <c r="B37" s="4"/>
      <c r="C37" s="9" t="e">
        <f t="shared" si="1"/>
        <v>#DIV/0!</v>
      </c>
      <c r="D37" s="4"/>
      <c r="E37" s="9" t="e">
        <f t="shared" ref="E37" si="317">D37/$Z37</f>
        <v>#DIV/0!</v>
      </c>
      <c r="F37" s="4"/>
      <c r="G37" s="9" t="e">
        <f t="shared" ref="G37" si="318">F37/$Z37</f>
        <v>#DIV/0!</v>
      </c>
      <c r="H37" s="4"/>
      <c r="I37" s="9" t="e">
        <f t="shared" ref="I37" si="319">H37/$Z37</f>
        <v>#DIV/0!</v>
      </c>
      <c r="J37" s="4"/>
      <c r="K37" s="9" t="e">
        <f t="shared" ref="K37" si="320">J37/$Z37</f>
        <v>#DIV/0!</v>
      </c>
      <c r="L37" s="4"/>
      <c r="M37" s="9" t="e">
        <f t="shared" ref="M37" si="321">L37/$Z37</f>
        <v>#DIV/0!</v>
      </c>
      <c r="N37" s="4"/>
      <c r="O37" s="9" t="e">
        <f t="shared" ref="O37" si="322">N37/$Z37</f>
        <v>#DIV/0!</v>
      </c>
      <c r="P37" s="4"/>
      <c r="Q37" s="9" t="e">
        <f t="shared" ref="Q37" si="323">P37/$Z37</f>
        <v>#DIV/0!</v>
      </c>
      <c r="R37" s="4"/>
      <c r="S37" s="9" t="e">
        <f t="shared" ref="S37" si="324">R37/$Z37</f>
        <v>#DIV/0!</v>
      </c>
      <c r="T37" s="4"/>
      <c r="U37" s="9" t="e">
        <f t="shared" ref="U37" si="325">T37/$Z37</f>
        <v>#DIV/0!</v>
      </c>
      <c r="V37" s="4"/>
      <c r="W37" s="9" t="e">
        <f t="shared" ref="W37" si="326">V37/$Z37</f>
        <v>#DIV/0!</v>
      </c>
      <c r="X37" s="4"/>
      <c r="Y37" s="9" t="e">
        <f t="shared" ref="Y37" si="327">X37/$Z37</f>
        <v>#DIV/0!</v>
      </c>
      <c r="Z37" s="5">
        <f t="shared" si="0"/>
        <v>0</v>
      </c>
      <c r="AA37" s="10" t="e">
        <f t="shared" si="13"/>
        <v>#DIV/0!</v>
      </c>
    </row>
    <row r="38" spans="1:27">
      <c r="A38" s="3" t="s">
        <v>44</v>
      </c>
      <c r="B38" s="4"/>
      <c r="C38" s="9">
        <f t="shared" si="1"/>
        <v>0</v>
      </c>
      <c r="D38" s="4"/>
      <c r="E38" s="9">
        <f t="shared" ref="E38" si="328">D38/$Z38</f>
        <v>0</v>
      </c>
      <c r="F38" s="5">
        <f>900</f>
        <v>900</v>
      </c>
      <c r="G38" s="9">
        <f t="shared" ref="G38" si="329">F38/$Z38</f>
        <v>0.32644178454842221</v>
      </c>
      <c r="H38" s="5">
        <f>357</f>
        <v>357</v>
      </c>
      <c r="I38" s="9">
        <f t="shared" ref="I38" si="330">H38/$Z38</f>
        <v>0.12948857453754081</v>
      </c>
      <c r="J38" s="5">
        <f>500</f>
        <v>500</v>
      </c>
      <c r="K38" s="9">
        <f t="shared" ref="K38" si="331">J38/$Z38</f>
        <v>0.18135654697134568</v>
      </c>
      <c r="L38" s="5">
        <f>250</f>
        <v>250</v>
      </c>
      <c r="M38" s="9">
        <f t="shared" ref="M38" si="332">L38/$Z38</f>
        <v>9.0678273485672839E-2</v>
      </c>
      <c r="N38" s="5">
        <f>250</f>
        <v>250</v>
      </c>
      <c r="O38" s="9">
        <f t="shared" ref="O38" si="333">N38/$Z38</f>
        <v>9.0678273485672839E-2</v>
      </c>
      <c r="P38" s="5">
        <f>500</f>
        <v>500</v>
      </c>
      <c r="Q38" s="9">
        <f t="shared" ref="Q38" si="334">P38/$Z38</f>
        <v>0.18135654697134568</v>
      </c>
      <c r="R38" s="4"/>
      <c r="S38" s="9">
        <f t="shared" ref="S38" si="335">R38/$Z38</f>
        <v>0</v>
      </c>
      <c r="T38" s="4"/>
      <c r="U38" s="9">
        <f t="shared" ref="U38" si="336">T38/$Z38</f>
        <v>0</v>
      </c>
      <c r="V38" s="4"/>
      <c r="W38" s="9">
        <f t="shared" ref="W38" si="337">V38/$Z38</f>
        <v>0</v>
      </c>
      <c r="X38" s="5">
        <f>0</f>
        <v>0</v>
      </c>
      <c r="Y38" s="9">
        <f t="shared" ref="Y38" si="338">X38/$Z38</f>
        <v>0</v>
      </c>
      <c r="Z38" s="5">
        <f t="shared" si="0"/>
        <v>2757</v>
      </c>
      <c r="AA38" s="10">
        <f t="shared" si="13"/>
        <v>1</v>
      </c>
    </row>
    <row r="39" spans="1:27">
      <c r="A39" s="3" t="s">
        <v>45</v>
      </c>
      <c r="B39" s="5">
        <f>-80.49</f>
        <v>-80.489999999999995</v>
      </c>
      <c r="C39" s="9">
        <f t="shared" si="1"/>
        <v>6.0596707044395424E-2</v>
      </c>
      <c r="D39" s="4"/>
      <c r="E39" s="9">
        <f t="shared" ref="E39" si="339">D39/$Z39</f>
        <v>0</v>
      </c>
      <c r="F39" s="5">
        <f>-1057</f>
        <v>-1057</v>
      </c>
      <c r="G39" s="9">
        <f t="shared" ref="G39" si="340">F39/$Z39</f>
        <v>0.7957599620564787</v>
      </c>
      <c r="H39" s="4"/>
      <c r="I39" s="9">
        <f t="shared" ref="I39" si="341">H39/$Z39</f>
        <v>0</v>
      </c>
      <c r="J39" s="4"/>
      <c r="K39" s="9">
        <f t="shared" ref="K39" si="342">J39/$Z39</f>
        <v>0</v>
      </c>
      <c r="L39" s="4"/>
      <c r="M39" s="9">
        <f t="shared" ref="M39" si="343">L39/$Z39</f>
        <v>0</v>
      </c>
      <c r="N39" s="4"/>
      <c r="O39" s="9">
        <f t="shared" ref="O39" si="344">N39/$Z39</f>
        <v>0</v>
      </c>
      <c r="P39" s="4"/>
      <c r="Q39" s="9">
        <f t="shared" ref="Q39" si="345">P39/$Z39</f>
        <v>0</v>
      </c>
      <c r="R39" s="4"/>
      <c r="S39" s="9">
        <f t="shared" ref="S39" si="346">R39/$Z39</f>
        <v>0</v>
      </c>
      <c r="T39" s="4"/>
      <c r="U39" s="9">
        <f t="shared" ref="U39" si="347">T39/$Z39</f>
        <v>0</v>
      </c>
      <c r="V39" s="4"/>
      <c r="W39" s="9">
        <f t="shared" ref="W39" si="348">V39/$Z39</f>
        <v>0</v>
      </c>
      <c r="X39" s="5">
        <f>-190.8</f>
        <v>-190.8</v>
      </c>
      <c r="Y39" s="9">
        <f t="shared" ref="Y39" si="349">X39/$Z39</f>
        <v>0.14364333089912595</v>
      </c>
      <c r="Z39" s="5">
        <f t="shared" ref="Z39:Z70" si="350">(((((((((((B39)+(D39))+(F39))+(H39))+(J39))+(L39))+(N39))+(P39))+(R39))+(T39))+(V39))+(X39)</f>
        <v>-1328.29</v>
      </c>
      <c r="AA39" s="10">
        <f t="shared" si="13"/>
        <v>1</v>
      </c>
    </row>
    <row r="40" spans="1:27">
      <c r="A40" s="3" t="s">
        <v>46</v>
      </c>
      <c r="B40" s="6">
        <f t="shared" ref="B40:X40" si="351">((B37)+(B38))+(B39)</f>
        <v>-80.489999999999995</v>
      </c>
      <c r="C40" s="9">
        <f t="shared" si="1"/>
        <v>-5.6337535259079863E-2</v>
      </c>
      <c r="D40" s="6">
        <f t="shared" si="351"/>
        <v>0</v>
      </c>
      <c r="E40" s="9">
        <f t="shared" ref="E40" si="352">D40/$Z40</f>
        <v>0</v>
      </c>
      <c r="F40" s="6">
        <f t="shared" si="351"/>
        <v>-157</v>
      </c>
      <c r="G40" s="9">
        <f t="shared" ref="G40" si="353">F40/$Z40</f>
        <v>-0.10988934073394881</v>
      </c>
      <c r="H40" s="6">
        <f t="shared" si="351"/>
        <v>357</v>
      </c>
      <c r="I40" s="9">
        <f t="shared" ref="I40" si="354">H40/$Z40</f>
        <v>0.24987576205108103</v>
      </c>
      <c r="J40" s="6">
        <f t="shared" si="351"/>
        <v>500</v>
      </c>
      <c r="K40" s="9">
        <f t="shared" ref="K40" si="355">J40/$Z40</f>
        <v>0.34996605329283059</v>
      </c>
      <c r="L40" s="6">
        <f t="shared" si="351"/>
        <v>250</v>
      </c>
      <c r="M40" s="9">
        <f t="shared" ref="M40" si="356">L40/$Z40</f>
        <v>0.1749830266464153</v>
      </c>
      <c r="N40" s="6">
        <f t="shared" si="351"/>
        <v>250</v>
      </c>
      <c r="O40" s="9">
        <f t="shared" ref="O40" si="357">N40/$Z40</f>
        <v>0.1749830266464153</v>
      </c>
      <c r="P40" s="6">
        <f t="shared" si="351"/>
        <v>500</v>
      </c>
      <c r="Q40" s="9">
        <f t="shared" ref="Q40" si="358">P40/$Z40</f>
        <v>0.34996605329283059</v>
      </c>
      <c r="R40" s="6">
        <f t="shared" si="351"/>
        <v>0</v>
      </c>
      <c r="S40" s="9">
        <f t="shared" ref="S40" si="359">R40/$Z40</f>
        <v>0</v>
      </c>
      <c r="T40" s="6">
        <f t="shared" si="351"/>
        <v>0</v>
      </c>
      <c r="U40" s="9">
        <f t="shared" ref="U40" si="360">T40/$Z40</f>
        <v>0</v>
      </c>
      <c r="V40" s="6">
        <f t="shared" si="351"/>
        <v>0</v>
      </c>
      <c r="W40" s="9">
        <f t="shared" ref="W40" si="361">V40/$Z40</f>
        <v>0</v>
      </c>
      <c r="X40" s="6">
        <f t="shared" si="351"/>
        <v>-190.8</v>
      </c>
      <c r="Y40" s="9">
        <f t="shared" ref="Y40" si="362">X40/$Z40</f>
        <v>-0.13354704593654415</v>
      </c>
      <c r="Z40" s="6">
        <f t="shared" si="350"/>
        <v>1428.71</v>
      </c>
      <c r="AA40" s="10">
        <f t="shared" si="13"/>
        <v>0.99999999999999978</v>
      </c>
    </row>
    <row r="41" spans="1:27">
      <c r="A41" s="3" t="s">
        <v>47</v>
      </c>
      <c r="B41" s="4"/>
      <c r="C41" s="9" t="e">
        <f t="shared" si="1"/>
        <v>#DIV/0!</v>
      </c>
      <c r="D41" s="4"/>
      <c r="E41" s="9" t="e">
        <f t="shared" ref="E41" si="363">D41/$Z41</f>
        <v>#DIV/0!</v>
      </c>
      <c r="F41" s="4"/>
      <c r="G41" s="9" t="e">
        <f t="shared" ref="G41" si="364">F41/$Z41</f>
        <v>#DIV/0!</v>
      </c>
      <c r="H41" s="4"/>
      <c r="I41" s="9" t="e">
        <f t="shared" ref="I41" si="365">H41/$Z41</f>
        <v>#DIV/0!</v>
      </c>
      <c r="J41" s="4"/>
      <c r="K41" s="9" t="e">
        <f t="shared" ref="K41" si="366">J41/$Z41</f>
        <v>#DIV/0!</v>
      </c>
      <c r="L41" s="4"/>
      <c r="M41" s="9" t="e">
        <f t="shared" ref="M41" si="367">L41/$Z41</f>
        <v>#DIV/0!</v>
      </c>
      <c r="N41" s="4"/>
      <c r="O41" s="9" t="e">
        <f t="shared" ref="O41" si="368">N41/$Z41</f>
        <v>#DIV/0!</v>
      </c>
      <c r="P41" s="4"/>
      <c r="Q41" s="9" t="e">
        <f t="shared" ref="Q41" si="369">P41/$Z41</f>
        <v>#DIV/0!</v>
      </c>
      <c r="R41" s="4"/>
      <c r="S41" s="9" t="e">
        <f t="shared" ref="S41" si="370">R41/$Z41</f>
        <v>#DIV/0!</v>
      </c>
      <c r="T41" s="4"/>
      <c r="U41" s="9" t="e">
        <f t="shared" ref="U41" si="371">T41/$Z41</f>
        <v>#DIV/0!</v>
      </c>
      <c r="V41" s="4"/>
      <c r="W41" s="9" t="e">
        <f t="shared" ref="W41" si="372">V41/$Z41</f>
        <v>#DIV/0!</v>
      </c>
      <c r="X41" s="4"/>
      <c r="Y41" s="9" t="e">
        <f t="shared" ref="Y41" si="373">X41/$Z41</f>
        <v>#DIV/0!</v>
      </c>
      <c r="Z41" s="5">
        <f t="shared" si="350"/>
        <v>0</v>
      </c>
      <c r="AA41" s="10" t="e">
        <f t="shared" si="13"/>
        <v>#DIV/0!</v>
      </c>
    </row>
    <row r="42" spans="1:27">
      <c r="A42" s="3" t="s">
        <v>48</v>
      </c>
      <c r="B42" s="4"/>
      <c r="C42" s="9">
        <f t="shared" si="1"/>
        <v>0</v>
      </c>
      <c r="D42" s="4"/>
      <c r="E42" s="9">
        <f t="shared" ref="E42" si="374">D42/$Z42</f>
        <v>0</v>
      </c>
      <c r="F42" s="4"/>
      <c r="G42" s="9">
        <f t="shared" ref="G42" si="375">F42/$Z42</f>
        <v>0</v>
      </c>
      <c r="H42" s="4"/>
      <c r="I42" s="9">
        <f t="shared" ref="I42" si="376">H42/$Z42</f>
        <v>0</v>
      </c>
      <c r="J42" s="5">
        <f>-58.45</f>
        <v>-58.45</v>
      </c>
      <c r="K42" s="9">
        <f t="shared" ref="K42" si="377">J42/$Z42</f>
        <v>0.32216281761560933</v>
      </c>
      <c r="L42" s="4"/>
      <c r="M42" s="9">
        <f t="shared" ref="M42" si="378">L42/$Z42</f>
        <v>0</v>
      </c>
      <c r="N42" s="5">
        <f>-50</f>
        <v>-50</v>
      </c>
      <c r="O42" s="9">
        <f t="shared" ref="O42" si="379">N42/$Z42</f>
        <v>0.27558838119384887</v>
      </c>
      <c r="P42" s="5">
        <f>-22.98</f>
        <v>-22.98</v>
      </c>
      <c r="Q42" s="9">
        <f t="shared" ref="Q42" si="380">P42/$Z42</f>
        <v>0.12666041999669295</v>
      </c>
      <c r="R42" s="4"/>
      <c r="S42" s="9">
        <f t="shared" ref="S42" si="381">R42/$Z42</f>
        <v>0</v>
      </c>
      <c r="T42" s="5">
        <f>-50</f>
        <v>-50</v>
      </c>
      <c r="U42" s="9">
        <f t="shared" ref="U42" si="382">T42/$Z42</f>
        <v>0.27558838119384887</v>
      </c>
      <c r="V42" s="4"/>
      <c r="W42" s="9">
        <f t="shared" ref="W42" si="383">V42/$Z42</f>
        <v>0</v>
      </c>
      <c r="X42" s="4"/>
      <c r="Y42" s="9">
        <f t="shared" ref="Y42" si="384">X42/$Z42</f>
        <v>0</v>
      </c>
      <c r="Z42" s="5">
        <f t="shared" si="350"/>
        <v>-181.43</v>
      </c>
      <c r="AA42" s="10">
        <f t="shared" si="13"/>
        <v>1</v>
      </c>
    </row>
    <row r="43" spans="1:27">
      <c r="A43" s="3" t="s">
        <v>49</v>
      </c>
      <c r="B43" s="6">
        <f t="shared" ref="B43:X43" si="385">(B41)+(B42)</f>
        <v>0</v>
      </c>
      <c r="C43" s="9">
        <f t="shared" si="1"/>
        <v>0</v>
      </c>
      <c r="D43" s="6">
        <f t="shared" si="385"/>
        <v>0</v>
      </c>
      <c r="E43" s="9">
        <f t="shared" ref="E43" si="386">D43/$Z43</f>
        <v>0</v>
      </c>
      <c r="F43" s="6">
        <f t="shared" si="385"/>
        <v>0</v>
      </c>
      <c r="G43" s="9">
        <f t="shared" ref="G43" si="387">F43/$Z43</f>
        <v>0</v>
      </c>
      <c r="H43" s="6">
        <f t="shared" si="385"/>
        <v>0</v>
      </c>
      <c r="I43" s="9">
        <f t="shared" ref="I43" si="388">H43/$Z43</f>
        <v>0</v>
      </c>
      <c r="J43" s="6">
        <f t="shared" si="385"/>
        <v>-58.45</v>
      </c>
      <c r="K43" s="9">
        <f t="shared" ref="K43" si="389">J43/$Z43</f>
        <v>0.32216281761560933</v>
      </c>
      <c r="L43" s="6">
        <f t="shared" si="385"/>
        <v>0</v>
      </c>
      <c r="M43" s="9">
        <f t="shared" ref="M43" si="390">L43/$Z43</f>
        <v>0</v>
      </c>
      <c r="N43" s="6">
        <f t="shared" si="385"/>
        <v>-50</v>
      </c>
      <c r="O43" s="9">
        <f t="shared" ref="O43" si="391">N43/$Z43</f>
        <v>0.27558838119384887</v>
      </c>
      <c r="P43" s="6">
        <f t="shared" si="385"/>
        <v>-22.98</v>
      </c>
      <c r="Q43" s="9">
        <f t="shared" ref="Q43" si="392">P43/$Z43</f>
        <v>0.12666041999669295</v>
      </c>
      <c r="R43" s="6">
        <f t="shared" si="385"/>
        <v>0</v>
      </c>
      <c r="S43" s="9">
        <f t="shared" ref="S43" si="393">R43/$Z43</f>
        <v>0</v>
      </c>
      <c r="T43" s="6">
        <f t="shared" si="385"/>
        <v>-50</v>
      </c>
      <c r="U43" s="9">
        <f t="shared" ref="U43" si="394">T43/$Z43</f>
        <v>0.27558838119384887</v>
      </c>
      <c r="V43" s="6">
        <f t="shared" si="385"/>
        <v>0</v>
      </c>
      <c r="W43" s="9">
        <f t="shared" ref="W43" si="395">V43/$Z43</f>
        <v>0</v>
      </c>
      <c r="X43" s="6">
        <f t="shared" si="385"/>
        <v>0</v>
      </c>
      <c r="Y43" s="9">
        <f t="shared" ref="Y43" si="396">X43/$Z43</f>
        <v>0</v>
      </c>
      <c r="Z43" s="6">
        <f t="shared" si="350"/>
        <v>-181.43</v>
      </c>
      <c r="AA43" s="10">
        <f t="shared" si="13"/>
        <v>1</v>
      </c>
    </row>
    <row r="44" spans="1:27">
      <c r="A44" s="3" t="s">
        <v>50</v>
      </c>
      <c r="B44" s="6">
        <f t="shared" ref="B44:X44" si="397">(((((((B12)+(B17))+(B21))+(B27))+(B32))+(B36))+(B40))+(B43)</f>
        <v>4818.5700000000006</v>
      </c>
      <c r="C44" s="9">
        <f t="shared" si="1"/>
        <v>0.17176163531383604</v>
      </c>
      <c r="D44" s="6">
        <f t="shared" si="397"/>
        <v>2318.87</v>
      </c>
      <c r="E44" s="9">
        <f t="shared" ref="E44" si="398">D44/$Z44</f>
        <v>8.2657905411811991E-2</v>
      </c>
      <c r="F44" s="6">
        <f t="shared" si="397"/>
        <v>6125.68</v>
      </c>
      <c r="G44" s="9">
        <f t="shared" ref="G44" si="399">F44/$Z44</f>
        <v>0.21835457702373506</v>
      </c>
      <c r="H44" s="6">
        <f t="shared" si="397"/>
        <v>-8360.36</v>
      </c>
      <c r="I44" s="9">
        <f t="shared" ref="I44" si="400">H44/$Z44</f>
        <v>-0.29801146510528692</v>
      </c>
      <c r="J44" s="6">
        <f t="shared" si="397"/>
        <v>12079.05</v>
      </c>
      <c r="K44" s="9">
        <f t="shared" ref="K44" si="401">J44/$Z44</f>
        <v>0.43056703151299885</v>
      </c>
      <c r="L44" s="6">
        <f t="shared" si="397"/>
        <v>2462.5</v>
      </c>
      <c r="M44" s="9">
        <f t="shared" ref="M44" si="402">L44/$Z44</f>
        <v>8.7777707278367076E-2</v>
      </c>
      <c r="N44" s="6">
        <f t="shared" si="397"/>
        <v>7669.22</v>
      </c>
      <c r="O44" s="9">
        <f t="shared" ref="O44" si="403">N44/$Z44</f>
        <v>0.27337524800544094</v>
      </c>
      <c r="P44" s="6">
        <f t="shared" si="397"/>
        <v>4492.0200000000004</v>
      </c>
      <c r="Q44" s="9">
        <f t="shared" ref="Q44" si="404">P44/$Z44</f>
        <v>0.16012150929891186</v>
      </c>
      <c r="R44" s="6">
        <f t="shared" si="397"/>
        <v>4074.09</v>
      </c>
      <c r="S44" s="9">
        <f t="shared" ref="S44" si="405">R44/$Z44</f>
        <v>0.14522407287135938</v>
      </c>
      <c r="T44" s="6">
        <f t="shared" si="397"/>
        <v>-2093.63</v>
      </c>
      <c r="U44" s="9">
        <f t="shared" ref="U44" si="406">T44/$Z44</f>
        <v>-7.462905230018585E-2</v>
      </c>
      <c r="V44" s="6">
        <f t="shared" si="397"/>
        <v>11309.19</v>
      </c>
      <c r="W44" s="9">
        <f t="shared" ref="W44" si="407">V44/$Z44</f>
        <v>0.40312477944180147</v>
      </c>
      <c r="X44" s="6">
        <f t="shared" si="397"/>
        <v>-16841.38</v>
      </c>
      <c r="Y44" s="9">
        <f t="shared" ref="Y44" si="408">X44/$Z44</f>
        <v>-0.60032394875279016</v>
      </c>
      <c r="Z44" s="6">
        <f t="shared" si="350"/>
        <v>28053.820000000003</v>
      </c>
      <c r="AA44" s="10">
        <f t="shared" si="13"/>
        <v>0.99999999999999989</v>
      </c>
    </row>
    <row r="45" spans="1:27">
      <c r="A45" s="3" t="s">
        <v>51</v>
      </c>
      <c r="B45" s="4"/>
      <c r="C45" s="9" t="e">
        <f t="shared" si="1"/>
        <v>#DIV/0!</v>
      </c>
      <c r="D45" s="4"/>
      <c r="E45" s="9" t="e">
        <f t="shared" ref="E45" si="409">D45/$Z45</f>
        <v>#DIV/0!</v>
      </c>
      <c r="F45" s="4"/>
      <c r="G45" s="9" t="e">
        <f t="shared" ref="G45" si="410">F45/$Z45</f>
        <v>#DIV/0!</v>
      </c>
      <c r="H45" s="4"/>
      <c r="I45" s="9" t="e">
        <f t="shared" ref="I45" si="411">H45/$Z45</f>
        <v>#DIV/0!</v>
      </c>
      <c r="J45" s="4"/>
      <c r="K45" s="9" t="e">
        <f t="shared" ref="K45" si="412">J45/$Z45</f>
        <v>#DIV/0!</v>
      </c>
      <c r="L45" s="4"/>
      <c r="M45" s="9" t="e">
        <f t="shared" ref="M45" si="413">L45/$Z45</f>
        <v>#DIV/0!</v>
      </c>
      <c r="N45" s="4"/>
      <c r="O45" s="9" t="e">
        <f t="shared" ref="O45" si="414">N45/$Z45</f>
        <v>#DIV/0!</v>
      </c>
      <c r="P45" s="4"/>
      <c r="Q45" s="9" t="e">
        <f t="shared" ref="Q45" si="415">P45/$Z45</f>
        <v>#DIV/0!</v>
      </c>
      <c r="R45" s="4"/>
      <c r="S45" s="9" t="e">
        <f t="shared" ref="S45" si="416">R45/$Z45</f>
        <v>#DIV/0!</v>
      </c>
      <c r="T45" s="4"/>
      <c r="U45" s="9" t="e">
        <f t="shared" ref="U45" si="417">T45/$Z45</f>
        <v>#DIV/0!</v>
      </c>
      <c r="V45" s="4"/>
      <c r="W45" s="9" t="e">
        <f t="shared" ref="W45" si="418">V45/$Z45</f>
        <v>#DIV/0!</v>
      </c>
      <c r="X45" s="4"/>
      <c r="Y45" s="9" t="e">
        <f t="shared" ref="Y45" si="419">X45/$Z45</f>
        <v>#DIV/0!</v>
      </c>
      <c r="Z45" s="5">
        <f t="shared" si="350"/>
        <v>0</v>
      </c>
      <c r="AA45" s="10" t="e">
        <f t="shared" si="13"/>
        <v>#DIV/0!</v>
      </c>
    </row>
    <row r="46" spans="1:27">
      <c r="A46" s="3" t="s">
        <v>52</v>
      </c>
      <c r="B46" s="5">
        <f>3540</f>
        <v>3540</v>
      </c>
      <c r="C46" s="9">
        <f t="shared" si="1"/>
        <v>0.19330530224430731</v>
      </c>
      <c r="D46" s="5">
        <f>1557.5</f>
        <v>1557.5</v>
      </c>
      <c r="E46" s="9">
        <f t="shared" ref="E46" si="420">D46/$Z46</f>
        <v>8.5048872385736912E-2</v>
      </c>
      <c r="F46" s="5">
        <f>2500</f>
        <v>2500</v>
      </c>
      <c r="G46" s="9">
        <f t="shared" ref="G46" si="421">F46/$Z46</f>
        <v>0.13651504395784417</v>
      </c>
      <c r="H46" s="5">
        <f>-2500</f>
        <v>-2500</v>
      </c>
      <c r="I46" s="9">
        <f t="shared" ref="I46" si="422">H46/$Z46</f>
        <v>-0.13651504395784417</v>
      </c>
      <c r="J46" s="4"/>
      <c r="K46" s="9">
        <f t="shared" ref="K46" si="423">J46/$Z46</f>
        <v>0</v>
      </c>
      <c r="L46" s="5">
        <f>3750</f>
        <v>3750</v>
      </c>
      <c r="M46" s="9">
        <f t="shared" ref="M46" si="424">L46/$Z46</f>
        <v>0.20477256593676624</v>
      </c>
      <c r="N46" s="5">
        <f>5450</f>
        <v>5450</v>
      </c>
      <c r="O46" s="9">
        <f t="shared" ref="O46" si="425">N46/$Z46</f>
        <v>0.29760279582810023</v>
      </c>
      <c r="P46" s="5">
        <f>4015.5</f>
        <v>4015.5</v>
      </c>
      <c r="Q46" s="9">
        <f t="shared" ref="Q46" si="426">P46/$Z46</f>
        <v>0.21927046360508928</v>
      </c>
      <c r="R46" s="4"/>
      <c r="S46" s="9">
        <f t="shared" ref="S46" si="427">R46/$Z46</f>
        <v>0</v>
      </c>
      <c r="T46" s="4"/>
      <c r="U46" s="9">
        <f t="shared" ref="U46" si="428">T46/$Z46</f>
        <v>0</v>
      </c>
      <c r="V46" s="4"/>
      <c r="W46" s="9">
        <f t="shared" ref="W46" si="429">V46/$Z46</f>
        <v>0</v>
      </c>
      <c r="X46" s="4"/>
      <c r="Y46" s="9">
        <f t="shared" ref="Y46" si="430">X46/$Z46</f>
        <v>0</v>
      </c>
      <c r="Z46" s="5">
        <f t="shared" si="350"/>
        <v>18313</v>
      </c>
      <c r="AA46" s="10">
        <f t="shared" si="13"/>
        <v>1</v>
      </c>
    </row>
    <row r="47" spans="1:27">
      <c r="A47" s="3" t="s">
        <v>53</v>
      </c>
      <c r="B47" s="4"/>
      <c r="C47" s="9">
        <f t="shared" si="1"/>
        <v>0</v>
      </c>
      <c r="D47" s="4"/>
      <c r="E47" s="9">
        <f t="shared" ref="E47" si="431">D47/$Z47</f>
        <v>0</v>
      </c>
      <c r="F47" s="5">
        <f>-1050</f>
        <v>-1050</v>
      </c>
      <c r="G47" s="9">
        <f t="shared" ref="G47" si="432">F47/$Z47</f>
        <v>1</v>
      </c>
      <c r="H47" s="4"/>
      <c r="I47" s="9">
        <f t="shared" ref="I47" si="433">H47/$Z47</f>
        <v>0</v>
      </c>
      <c r="J47" s="4"/>
      <c r="K47" s="9">
        <f t="shared" ref="K47" si="434">J47/$Z47</f>
        <v>0</v>
      </c>
      <c r="L47" s="4"/>
      <c r="M47" s="9">
        <f t="shared" ref="M47" si="435">L47/$Z47</f>
        <v>0</v>
      </c>
      <c r="N47" s="4"/>
      <c r="O47" s="9">
        <f t="shared" ref="O47" si="436">N47/$Z47</f>
        <v>0</v>
      </c>
      <c r="P47" s="4"/>
      <c r="Q47" s="9">
        <f t="shared" ref="Q47" si="437">P47/$Z47</f>
        <v>0</v>
      </c>
      <c r="R47" s="4"/>
      <c r="S47" s="9">
        <f t="shared" ref="S47" si="438">R47/$Z47</f>
        <v>0</v>
      </c>
      <c r="T47" s="4"/>
      <c r="U47" s="9">
        <f t="shared" ref="U47" si="439">T47/$Z47</f>
        <v>0</v>
      </c>
      <c r="V47" s="4"/>
      <c r="W47" s="9">
        <f t="shared" ref="W47" si="440">V47/$Z47</f>
        <v>0</v>
      </c>
      <c r="X47" s="4"/>
      <c r="Y47" s="9">
        <f t="shared" ref="Y47" si="441">X47/$Z47</f>
        <v>0</v>
      </c>
      <c r="Z47" s="5">
        <f t="shared" si="350"/>
        <v>-1050</v>
      </c>
      <c r="AA47" s="10">
        <f t="shared" si="13"/>
        <v>1</v>
      </c>
    </row>
    <row r="48" spans="1:27">
      <c r="A48" s="3" t="s">
        <v>54</v>
      </c>
      <c r="B48" s="6">
        <f t="shared" ref="B48:X48" si="442">(B46)+(B47)</f>
        <v>3540</v>
      </c>
      <c r="C48" s="9">
        <f t="shared" si="1"/>
        <v>0.20506285118461448</v>
      </c>
      <c r="D48" s="6">
        <f t="shared" si="442"/>
        <v>1557.5</v>
      </c>
      <c r="E48" s="9">
        <f t="shared" ref="E48" si="443">D48/$Z48</f>
        <v>9.0221861785321211E-2</v>
      </c>
      <c r="F48" s="6">
        <f t="shared" si="442"/>
        <v>1450</v>
      </c>
      <c r="G48" s="9">
        <f t="shared" ref="G48" si="444">F48/$Z48</f>
        <v>8.3994670682963568E-2</v>
      </c>
      <c r="H48" s="6">
        <f t="shared" si="442"/>
        <v>-2500</v>
      </c>
      <c r="I48" s="9">
        <f t="shared" ref="I48" si="445">H48/$Z48</f>
        <v>-0.14481839772924751</v>
      </c>
      <c r="J48" s="6">
        <f t="shared" si="442"/>
        <v>0</v>
      </c>
      <c r="K48" s="9">
        <f t="shared" ref="K48" si="446">J48/$Z48</f>
        <v>0</v>
      </c>
      <c r="L48" s="6">
        <f t="shared" si="442"/>
        <v>3750</v>
      </c>
      <c r="M48" s="9">
        <f t="shared" ref="M48" si="447">L48/$Z48</f>
        <v>0.21722759659387128</v>
      </c>
      <c r="N48" s="6">
        <f t="shared" si="442"/>
        <v>5450</v>
      </c>
      <c r="O48" s="9">
        <f t="shared" ref="O48" si="448">N48/$Z48</f>
        <v>0.3157041070497596</v>
      </c>
      <c r="P48" s="6">
        <f t="shared" si="442"/>
        <v>4015.5</v>
      </c>
      <c r="Q48" s="9">
        <f t="shared" ref="Q48" si="449">P48/$Z48</f>
        <v>0.23260731043271737</v>
      </c>
      <c r="R48" s="6">
        <f t="shared" si="442"/>
        <v>0</v>
      </c>
      <c r="S48" s="9">
        <f t="shared" ref="S48" si="450">R48/$Z48</f>
        <v>0</v>
      </c>
      <c r="T48" s="6">
        <f t="shared" si="442"/>
        <v>0</v>
      </c>
      <c r="U48" s="9">
        <f t="shared" ref="U48" si="451">T48/$Z48</f>
        <v>0</v>
      </c>
      <c r="V48" s="6">
        <f t="shared" si="442"/>
        <v>0</v>
      </c>
      <c r="W48" s="9">
        <f t="shared" ref="W48" si="452">V48/$Z48</f>
        <v>0</v>
      </c>
      <c r="X48" s="6">
        <f t="shared" si="442"/>
        <v>0</v>
      </c>
      <c r="Y48" s="9">
        <f t="shared" ref="Y48" si="453">X48/$Z48</f>
        <v>0</v>
      </c>
      <c r="Z48" s="6">
        <f t="shared" si="350"/>
        <v>17263</v>
      </c>
      <c r="AA48" s="10">
        <f t="shared" si="13"/>
        <v>1</v>
      </c>
    </row>
    <row r="49" spans="1:27">
      <c r="A49" s="3" t="s">
        <v>55</v>
      </c>
      <c r="B49" s="4"/>
      <c r="C49" s="9">
        <f t="shared" si="1"/>
        <v>0</v>
      </c>
      <c r="D49" s="5">
        <f>150</f>
        <v>150</v>
      </c>
      <c r="E49" s="9">
        <f t="shared" ref="E49" si="454">D49/$Z49</f>
        <v>0.16216216216216217</v>
      </c>
      <c r="F49" s="4"/>
      <c r="G49" s="9">
        <f t="shared" ref="G49" si="455">F49/$Z49</f>
        <v>0</v>
      </c>
      <c r="H49" s="5">
        <f>625</f>
        <v>625</v>
      </c>
      <c r="I49" s="9">
        <f t="shared" ref="I49" si="456">H49/$Z49</f>
        <v>0.67567567567567566</v>
      </c>
      <c r="J49" s="4"/>
      <c r="K49" s="9">
        <f t="shared" ref="K49" si="457">J49/$Z49</f>
        <v>0</v>
      </c>
      <c r="L49" s="5">
        <f>150</f>
        <v>150</v>
      </c>
      <c r="M49" s="9">
        <f t="shared" ref="M49" si="458">L49/$Z49</f>
        <v>0.16216216216216217</v>
      </c>
      <c r="N49" s="4"/>
      <c r="O49" s="9">
        <f t="shared" ref="O49" si="459">N49/$Z49</f>
        <v>0</v>
      </c>
      <c r="P49" s="4"/>
      <c r="Q49" s="9">
        <f t="shared" ref="Q49" si="460">P49/$Z49</f>
        <v>0</v>
      </c>
      <c r="R49" s="4"/>
      <c r="S49" s="9">
        <f t="shared" ref="S49" si="461">R49/$Z49</f>
        <v>0</v>
      </c>
      <c r="T49" s="4"/>
      <c r="U49" s="9">
        <f t="shared" ref="U49" si="462">T49/$Z49</f>
        <v>0</v>
      </c>
      <c r="V49" s="4"/>
      <c r="W49" s="9">
        <f t="shared" ref="W49" si="463">V49/$Z49</f>
        <v>0</v>
      </c>
      <c r="X49" s="4"/>
      <c r="Y49" s="9">
        <f t="shared" ref="Y49" si="464">X49/$Z49</f>
        <v>0</v>
      </c>
      <c r="Z49" s="5">
        <f t="shared" si="350"/>
        <v>925</v>
      </c>
      <c r="AA49" s="10">
        <f t="shared" si="13"/>
        <v>1</v>
      </c>
    </row>
    <row r="50" spans="1:27">
      <c r="A50" s="3" t="s">
        <v>56</v>
      </c>
      <c r="B50" s="5">
        <f t="shared" ref="B50:X50" si="465">776.46</f>
        <v>776.46</v>
      </c>
      <c r="C50" s="9">
        <f t="shared" si="1"/>
        <v>8.3333333333333329E-2</v>
      </c>
      <c r="D50" s="5">
        <f t="shared" si="465"/>
        <v>776.46</v>
      </c>
      <c r="E50" s="9">
        <f t="shared" ref="E50" si="466">D50/$Z50</f>
        <v>8.3333333333333329E-2</v>
      </c>
      <c r="F50" s="5">
        <f t="shared" si="465"/>
        <v>776.46</v>
      </c>
      <c r="G50" s="9">
        <f t="shared" ref="G50" si="467">F50/$Z50</f>
        <v>8.3333333333333329E-2</v>
      </c>
      <c r="H50" s="5">
        <f t="shared" si="465"/>
        <v>776.46</v>
      </c>
      <c r="I50" s="9">
        <f t="shared" ref="I50" si="468">H50/$Z50</f>
        <v>8.3333333333333329E-2</v>
      </c>
      <c r="J50" s="5">
        <f t="shared" si="465"/>
        <v>776.46</v>
      </c>
      <c r="K50" s="9">
        <f t="shared" ref="K50" si="469">J50/$Z50</f>
        <v>8.3333333333333329E-2</v>
      </c>
      <c r="L50" s="5">
        <f t="shared" si="465"/>
        <v>776.46</v>
      </c>
      <c r="M50" s="9">
        <f t="shared" ref="M50" si="470">L50/$Z50</f>
        <v>8.3333333333333329E-2</v>
      </c>
      <c r="N50" s="5">
        <f t="shared" si="465"/>
        <v>776.46</v>
      </c>
      <c r="O50" s="9">
        <f t="shared" ref="O50" si="471">N50/$Z50</f>
        <v>8.3333333333333329E-2</v>
      </c>
      <c r="P50" s="5">
        <f t="shared" si="465"/>
        <v>776.46</v>
      </c>
      <c r="Q50" s="9">
        <f t="shared" ref="Q50" si="472">P50/$Z50</f>
        <v>8.3333333333333329E-2</v>
      </c>
      <c r="R50" s="5">
        <f t="shared" si="465"/>
        <v>776.46</v>
      </c>
      <c r="S50" s="9">
        <f t="shared" ref="S50" si="473">R50/$Z50</f>
        <v>8.3333333333333329E-2</v>
      </c>
      <c r="T50" s="5">
        <f t="shared" si="465"/>
        <v>776.46</v>
      </c>
      <c r="U50" s="9">
        <f t="shared" ref="U50" si="474">T50/$Z50</f>
        <v>8.3333333333333329E-2</v>
      </c>
      <c r="V50" s="5">
        <f t="shared" si="465"/>
        <v>776.46</v>
      </c>
      <c r="W50" s="9">
        <f t="shared" ref="W50" si="475">V50/$Z50</f>
        <v>8.3333333333333329E-2</v>
      </c>
      <c r="X50" s="5">
        <f t="shared" si="465"/>
        <v>776.46</v>
      </c>
      <c r="Y50" s="9">
        <f t="shared" ref="Y50" si="476">X50/$Z50</f>
        <v>8.3333333333333329E-2</v>
      </c>
      <c r="Z50" s="5">
        <f t="shared" si="350"/>
        <v>9317.52</v>
      </c>
      <c r="AA50" s="10">
        <f t="shared" si="13"/>
        <v>1</v>
      </c>
    </row>
    <row r="51" spans="1:27">
      <c r="A51" s="3" t="s">
        <v>57</v>
      </c>
      <c r="B51" s="6">
        <f t="shared" ref="B51:X51" si="477">(((B45)+(B48))+(B49))+(B50)</f>
        <v>4316.46</v>
      </c>
      <c r="C51" s="9">
        <f t="shared" si="1"/>
        <v>0.15693068155046699</v>
      </c>
      <c r="D51" s="6">
        <f t="shared" si="477"/>
        <v>2483.96</v>
      </c>
      <c r="E51" s="9">
        <f t="shared" ref="E51" si="478">D51/$Z51</f>
        <v>9.030769096530443E-2</v>
      </c>
      <c r="F51" s="6">
        <f t="shared" si="477"/>
        <v>2226.46</v>
      </c>
      <c r="G51" s="9">
        <f t="shared" ref="G51" si="479">F51/$Z51</f>
        <v>8.0945933761659483E-2</v>
      </c>
      <c r="H51" s="6">
        <f t="shared" si="477"/>
        <v>-1098.54</v>
      </c>
      <c r="I51" s="9">
        <f t="shared" ref="I51" si="480">H51/$Z51</f>
        <v>-3.9938892265988797E-2</v>
      </c>
      <c r="J51" s="6">
        <f t="shared" si="477"/>
        <v>776.46</v>
      </c>
      <c r="K51" s="9">
        <f t="shared" ref="K51" si="481">J51/$Z51</f>
        <v>2.8229242712008357E-2</v>
      </c>
      <c r="L51" s="6">
        <f t="shared" si="477"/>
        <v>4676.46</v>
      </c>
      <c r="M51" s="9">
        <f t="shared" ref="M51" si="482">L51/$Z51</f>
        <v>0.17001896346624243</v>
      </c>
      <c r="N51" s="6">
        <f t="shared" si="477"/>
        <v>6226.46</v>
      </c>
      <c r="O51" s="9">
        <f t="shared" ref="O51" si="483">N51/$Z51</f>
        <v>0.22637128838138676</v>
      </c>
      <c r="P51" s="6">
        <f t="shared" si="477"/>
        <v>4791.96</v>
      </c>
      <c r="Q51" s="9">
        <f t="shared" ref="Q51" si="484">P51/$Z51</f>
        <v>0.17421812058088706</v>
      </c>
      <c r="R51" s="6">
        <f t="shared" si="477"/>
        <v>776.46</v>
      </c>
      <c r="S51" s="9">
        <f t="shared" ref="S51" si="485">R51/$Z51</f>
        <v>2.8229242712008357E-2</v>
      </c>
      <c r="T51" s="6">
        <f t="shared" si="477"/>
        <v>776.46</v>
      </c>
      <c r="U51" s="9">
        <f t="shared" ref="U51" si="486">T51/$Z51</f>
        <v>2.8229242712008357E-2</v>
      </c>
      <c r="V51" s="6">
        <f t="shared" si="477"/>
        <v>776.46</v>
      </c>
      <c r="W51" s="9">
        <f t="shared" ref="W51" si="487">V51/$Z51</f>
        <v>2.8229242712008357E-2</v>
      </c>
      <c r="X51" s="6">
        <f t="shared" si="477"/>
        <v>776.46</v>
      </c>
      <c r="Y51" s="9">
        <f t="shared" ref="Y51" si="488">X51/$Z51</f>
        <v>2.8229242712008357E-2</v>
      </c>
      <c r="Z51" s="6">
        <f t="shared" si="350"/>
        <v>27505.519999999997</v>
      </c>
      <c r="AA51" s="10">
        <f t="shared" si="13"/>
        <v>1</v>
      </c>
    </row>
    <row r="52" spans="1:27">
      <c r="A52" s="3" t="s">
        <v>58</v>
      </c>
      <c r="B52" s="4"/>
      <c r="C52" s="9" t="e">
        <f t="shared" si="1"/>
        <v>#DIV/0!</v>
      </c>
      <c r="D52" s="4"/>
      <c r="E52" s="9" t="e">
        <f t="shared" ref="E52" si="489">D52/$Z52</f>
        <v>#DIV/0!</v>
      </c>
      <c r="F52" s="4"/>
      <c r="G52" s="9" t="e">
        <f t="shared" ref="G52" si="490">F52/$Z52</f>
        <v>#DIV/0!</v>
      </c>
      <c r="H52" s="4"/>
      <c r="I52" s="9" t="e">
        <f t="shared" ref="I52" si="491">H52/$Z52</f>
        <v>#DIV/0!</v>
      </c>
      <c r="J52" s="4"/>
      <c r="K52" s="9" t="e">
        <f t="shared" ref="K52" si="492">J52/$Z52</f>
        <v>#DIV/0!</v>
      </c>
      <c r="L52" s="4"/>
      <c r="M52" s="9" t="e">
        <f t="shared" ref="M52" si="493">L52/$Z52</f>
        <v>#DIV/0!</v>
      </c>
      <c r="N52" s="4"/>
      <c r="O52" s="9" t="e">
        <f t="shared" ref="O52" si="494">N52/$Z52</f>
        <v>#DIV/0!</v>
      </c>
      <c r="P52" s="4"/>
      <c r="Q52" s="9" t="e">
        <f t="shared" ref="Q52" si="495">P52/$Z52</f>
        <v>#DIV/0!</v>
      </c>
      <c r="R52" s="4"/>
      <c r="S52" s="9" t="e">
        <f t="shared" ref="S52" si="496">R52/$Z52</f>
        <v>#DIV/0!</v>
      </c>
      <c r="T52" s="4"/>
      <c r="U52" s="9" t="e">
        <f t="shared" ref="U52" si="497">T52/$Z52</f>
        <v>#DIV/0!</v>
      </c>
      <c r="V52" s="4"/>
      <c r="W52" s="9" t="e">
        <f t="shared" ref="W52" si="498">V52/$Z52</f>
        <v>#DIV/0!</v>
      </c>
      <c r="X52" s="4"/>
      <c r="Y52" s="9" t="e">
        <f t="shared" ref="Y52" si="499">X52/$Z52</f>
        <v>#DIV/0!</v>
      </c>
      <c r="Z52" s="5">
        <f t="shared" si="350"/>
        <v>0</v>
      </c>
      <c r="AA52" s="10" t="e">
        <f t="shared" si="13"/>
        <v>#DIV/0!</v>
      </c>
    </row>
    <row r="53" spans="1:27">
      <c r="A53" s="3" t="s">
        <v>59</v>
      </c>
      <c r="B53" s="4"/>
      <c r="C53" s="9">
        <f t="shared" si="1"/>
        <v>0</v>
      </c>
      <c r="D53" s="5">
        <f>0</f>
        <v>0</v>
      </c>
      <c r="E53" s="9">
        <f t="shared" ref="E53" si="500">D53/$Z53</f>
        <v>0</v>
      </c>
      <c r="F53" s="5">
        <f>100</f>
        <v>100</v>
      </c>
      <c r="G53" s="9">
        <f t="shared" ref="G53" si="501">F53/$Z53</f>
        <v>1</v>
      </c>
      <c r="H53" s="4"/>
      <c r="I53" s="9">
        <f t="shared" ref="I53" si="502">H53/$Z53</f>
        <v>0</v>
      </c>
      <c r="J53" s="4"/>
      <c r="K53" s="9">
        <f t="shared" ref="K53" si="503">J53/$Z53</f>
        <v>0</v>
      </c>
      <c r="L53" s="4"/>
      <c r="M53" s="9">
        <f t="shared" ref="M53" si="504">L53/$Z53</f>
        <v>0</v>
      </c>
      <c r="N53" s="4"/>
      <c r="O53" s="9">
        <f t="shared" ref="O53" si="505">N53/$Z53</f>
        <v>0</v>
      </c>
      <c r="P53" s="4"/>
      <c r="Q53" s="9">
        <f t="shared" ref="Q53" si="506">P53/$Z53</f>
        <v>0</v>
      </c>
      <c r="R53" s="4"/>
      <c r="S53" s="9">
        <f t="shared" ref="S53" si="507">R53/$Z53</f>
        <v>0</v>
      </c>
      <c r="T53" s="4"/>
      <c r="U53" s="9">
        <f t="shared" ref="U53" si="508">T53/$Z53</f>
        <v>0</v>
      </c>
      <c r="V53" s="4"/>
      <c r="W53" s="9">
        <f t="shared" ref="W53" si="509">V53/$Z53</f>
        <v>0</v>
      </c>
      <c r="X53" s="4"/>
      <c r="Y53" s="9">
        <f t="shared" ref="Y53" si="510">X53/$Z53</f>
        <v>0</v>
      </c>
      <c r="Z53" s="5">
        <f t="shared" si="350"/>
        <v>100</v>
      </c>
      <c r="AA53" s="10">
        <f t="shared" si="13"/>
        <v>1</v>
      </c>
    </row>
    <row r="54" spans="1:27">
      <c r="A54" s="3" t="s">
        <v>60</v>
      </c>
      <c r="B54" s="6">
        <f t="shared" ref="B54:X54" si="511">(B52)+(B53)</f>
        <v>0</v>
      </c>
      <c r="C54" s="9">
        <f t="shared" si="1"/>
        <v>0</v>
      </c>
      <c r="D54" s="6">
        <f t="shared" si="511"/>
        <v>0</v>
      </c>
      <c r="E54" s="9">
        <f t="shared" ref="E54" si="512">D54/$Z54</f>
        <v>0</v>
      </c>
      <c r="F54" s="6">
        <f t="shared" si="511"/>
        <v>100</v>
      </c>
      <c r="G54" s="9">
        <f t="shared" ref="G54" si="513">F54/$Z54</f>
        <v>1</v>
      </c>
      <c r="H54" s="6">
        <f t="shared" si="511"/>
        <v>0</v>
      </c>
      <c r="I54" s="9">
        <f t="shared" ref="I54" si="514">H54/$Z54</f>
        <v>0</v>
      </c>
      <c r="J54" s="6">
        <f t="shared" si="511"/>
        <v>0</v>
      </c>
      <c r="K54" s="9">
        <f t="shared" ref="K54" si="515">J54/$Z54</f>
        <v>0</v>
      </c>
      <c r="L54" s="6">
        <f t="shared" si="511"/>
        <v>0</v>
      </c>
      <c r="M54" s="9">
        <f t="shared" ref="M54" si="516">L54/$Z54</f>
        <v>0</v>
      </c>
      <c r="N54" s="6">
        <f t="shared" si="511"/>
        <v>0</v>
      </c>
      <c r="O54" s="9">
        <f t="shared" ref="O54" si="517">N54/$Z54</f>
        <v>0</v>
      </c>
      <c r="P54" s="6">
        <f t="shared" si="511"/>
        <v>0</v>
      </c>
      <c r="Q54" s="9">
        <f t="shared" ref="Q54" si="518">P54/$Z54</f>
        <v>0</v>
      </c>
      <c r="R54" s="6">
        <f t="shared" si="511"/>
        <v>0</v>
      </c>
      <c r="S54" s="9">
        <f t="shared" ref="S54" si="519">R54/$Z54</f>
        <v>0</v>
      </c>
      <c r="T54" s="6">
        <f t="shared" si="511"/>
        <v>0</v>
      </c>
      <c r="U54" s="9">
        <f t="shared" ref="U54" si="520">T54/$Z54</f>
        <v>0</v>
      </c>
      <c r="V54" s="6">
        <f t="shared" si="511"/>
        <v>0</v>
      </c>
      <c r="W54" s="9">
        <f t="shared" ref="W54" si="521">V54/$Z54</f>
        <v>0</v>
      </c>
      <c r="X54" s="6">
        <f t="shared" si="511"/>
        <v>0</v>
      </c>
      <c r="Y54" s="9">
        <f t="shared" ref="Y54" si="522">X54/$Z54</f>
        <v>0</v>
      </c>
      <c r="Z54" s="6">
        <f t="shared" si="350"/>
        <v>100</v>
      </c>
      <c r="AA54" s="10">
        <f t="shared" si="13"/>
        <v>1</v>
      </c>
    </row>
    <row r="55" spans="1:27">
      <c r="A55" s="3" t="s">
        <v>61</v>
      </c>
      <c r="B55" s="4"/>
      <c r="C55" s="9" t="e">
        <f t="shared" si="1"/>
        <v>#DIV/0!</v>
      </c>
      <c r="D55" s="4"/>
      <c r="E55" s="9" t="e">
        <f t="shared" ref="E55" si="523">D55/$Z55</f>
        <v>#DIV/0!</v>
      </c>
      <c r="F55" s="4"/>
      <c r="G55" s="9" t="e">
        <f t="shared" ref="G55" si="524">F55/$Z55</f>
        <v>#DIV/0!</v>
      </c>
      <c r="H55" s="4"/>
      <c r="I55" s="9" t="e">
        <f t="shared" ref="I55" si="525">H55/$Z55</f>
        <v>#DIV/0!</v>
      </c>
      <c r="J55" s="4"/>
      <c r="K55" s="9" t="e">
        <f t="shared" ref="K55" si="526">J55/$Z55</f>
        <v>#DIV/0!</v>
      </c>
      <c r="L55" s="4"/>
      <c r="M55" s="9" t="e">
        <f t="shared" ref="M55" si="527">L55/$Z55</f>
        <v>#DIV/0!</v>
      </c>
      <c r="N55" s="4"/>
      <c r="O55" s="9" t="e">
        <f t="shared" ref="O55" si="528">N55/$Z55</f>
        <v>#DIV/0!</v>
      </c>
      <c r="P55" s="4"/>
      <c r="Q55" s="9" t="e">
        <f t="shared" ref="Q55" si="529">P55/$Z55</f>
        <v>#DIV/0!</v>
      </c>
      <c r="R55" s="4"/>
      <c r="S55" s="9" t="e">
        <f t="shared" ref="S55" si="530">R55/$Z55</f>
        <v>#DIV/0!</v>
      </c>
      <c r="T55" s="4"/>
      <c r="U55" s="9" t="e">
        <f t="shared" ref="U55" si="531">T55/$Z55</f>
        <v>#DIV/0!</v>
      </c>
      <c r="V55" s="4"/>
      <c r="W55" s="9" t="e">
        <f t="shared" ref="W55" si="532">V55/$Z55</f>
        <v>#DIV/0!</v>
      </c>
      <c r="X55" s="4"/>
      <c r="Y55" s="9" t="e">
        <f t="shared" ref="Y55" si="533">X55/$Z55</f>
        <v>#DIV/0!</v>
      </c>
      <c r="Z55" s="5">
        <f t="shared" si="350"/>
        <v>0</v>
      </c>
      <c r="AA55" s="10" t="e">
        <f t="shared" si="13"/>
        <v>#DIV/0!</v>
      </c>
    </row>
    <row r="56" spans="1:27">
      <c r="A56" s="3" t="s">
        <v>62</v>
      </c>
      <c r="B56" s="4"/>
      <c r="C56" s="9" t="e">
        <f t="shared" si="1"/>
        <v>#DIV/0!</v>
      </c>
      <c r="D56" s="4"/>
      <c r="E56" s="9" t="e">
        <f t="shared" ref="E56" si="534">D56/$Z56</f>
        <v>#DIV/0!</v>
      </c>
      <c r="F56" s="4"/>
      <c r="G56" s="9" t="e">
        <f t="shared" ref="G56" si="535">F56/$Z56</f>
        <v>#DIV/0!</v>
      </c>
      <c r="H56" s="4"/>
      <c r="I56" s="9" t="e">
        <f t="shared" ref="I56" si="536">H56/$Z56</f>
        <v>#DIV/0!</v>
      </c>
      <c r="J56" s="4"/>
      <c r="K56" s="9" t="e">
        <f t="shared" ref="K56" si="537">J56/$Z56</f>
        <v>#DIV/0!</v>
      </c>
      <c r="L56" s="4"/>
      <c r="M56" s="9" t="e">
        <f t="shared" ref="M56" si="538">L56/$Z56</f>
        <v>#DIV/0!</v>
      </c>
      <c r="N56" s="4"/>
      <c r="O56" s="9" t="e">
        <f t="shared" ref="O56" si="539">N56/$Z56</f>
        <v>#DIV/0!</v>
      </c>
      <c r="P56" s="4"/>
      <c r="Q56" s="9" t="e">
        <f t="shared" ref="Q56" si="540">P56/$Z56</f>
        <v>#DIV/0!</v>
      </c>
      <c r="R56" s="4"/>
      <c r="S56" s="9" t="e">
        <f t="shared" ref="S56" si="541">R56/$Z56</f>
        <v>#DIV/0!</v>
      </c>
      <c r="T56" s="4"/>
      <c r="U56" s="9" t="e">
        <f t="shared" ref="U56" si="542">T56/$Z56</f>
        <v>#DIV/0!</v>
      </c>
      <c r="V56" s="4"/>
      <c r="W56" s="9" t="e">
        <f t="shared" ref="W56" si="543">V56/$Z56</f>
        <v>#DIV/0!</v>
      </c>
      <c r="X56" s="4"/>
      <c r="Y56" s="9" t="e">
        <f t="shared" ref="Y56" si="544">X56/$Z56</f>
        <v>#DIV/0!</v>
      </c>
      <c r="Z56" s="5">
        <f t="shared" si="350"/>
        <v>0</v>
      </c>
      <c r="AA56" s="10" t="e">
        <f t="shared" si="13"/>
        <v>#DIV/0!</v>
      </c>
    </row>
    <row r="57" spans="1:27">
      <c r="A57" s="3" t="s">
        <v>63</v>
      </c>
      <c r="B57" s="4"/>
      <c r="C57" s="9">
        <f t="shared" si="1"/>
        <v>0</v>
      </c>
      <c r="D57" s="4"/>
      <c r="E57" s="9">
        <f t="shared" ref="E57" si="545">D57/$Z57</f>
        <v>0</v>
      </c>
      <c r="F57" s="5">
        <f>150</f>
        <v>150</v>
      </c>
      <c r="G57" s="9">
        <f t="shared" ref="G57" si="546">F57/$Z57</f>
        <v>9.5238095238095233E-2</v>
      </c>
      <c r="H57" s="5">
        <f>1200</f>
        <v>1200</v>
      </c>
      <c r="I57" s="9">
        <f t="shared" ref="I57" si="547">H57/$Z57</f>
        <v>0.76190476190476186</v>
      </c>
      <c r="J57" s="5">
        <f>150</f>
        <v>150</v>
      </c>
      <c r="K57" s="9">
        <f t="shared" ref="K57" si="548">J57/$Z57</f>
        <v>9.5238095238095233E-2</v>
      </c>
      <c r="L57" s="5">
        <f>75</f>
        <v>75</v>
      </c>
      <c r="M57" s="9">
        <f t="shared" ref="M57" si="549">L57/$Z57</f>
        <v>4.7619047619047616E-2</v>
      </c>
      <c r="N57" s="4"/>
      <c r="O57" s="9">
        <f t="shared" ref="O57" si="550">N57/$Z57</f>
        <v>0</v>
      </c>
      <c r="P57" s="4"/>
      <c r="Q57" s="9">
        <f t="shared" ref="Q57" si="551">P57/$Z57</f>
        <v>0</v>
      </c>
      <c r="R57" s="4"/>
      <c r="S57" s="9">
        <f t="shared" ref="S57" si="552">R57/$Z57</f>
        <v>0</v>
      </c>
      <c r="T57" s="4"/>
      <c r="U57" s="9">
        <f t="shared" ref="U57" si="553">T57/$Z57</f>
        <v>0</v>
      </c>
      <c r="V57" s="4"/>
      <c r="W57" s="9">
        <f t="shared" ref="W57" si="554">V57/$Z57</f>
        <v>0</v>
      </c>
      <c r="X57" s="4"/>
      <c r="Y57" s="9">
        <f t="shared" ref="Y57" si="555">X57/$Z57</f>
        <v>0</v>
      </c>
      <c r="Z57" s="5">
        <f t="shared" si="350"/>
        <v>1575</v>
      </c>
      <c r="AA57" s="10">
        <f t="shared" si="13"/>
        <v>1</v>
      </c>
    </row>
    <row r="58" spans="1:27">
      <c r="A58" s="3" t="s">
        <v>64</v>
      </c>
      <c r="B58" s="5">
        <f>300</f>
        <v>300</v>
      </c>
      <c r="C58" s="9">
        <f t="shared" si="1"/>
        <v>0.30769230769230771</v>
      </c>
      <c r="D58" s="4"/>
      <c r="E58" s="9">
        <f t="shared" ref="E58" si="556">D58/$Z58</f>
        <v>0</v>
      </c>
      <c r="F58" s="4"/>
      <c r="G58" s="9">
        <f t="shared" ref="G58" si="557">F58/$Z58</f>
        <v>0</v>
      </c>
      <c r="H58" s="5">
        <f>225</f>
        <v>225</v>
      </c>
      <c r="I58" s="9">
        <f t="shared" ref="I58" si="558">H58/$Z58</f>
        <v>0.23076923076923078</v>
      </c>
      <c r="J58" s="5">
        <f>300</f>
        <v>300</v>
      </c>
      <c r="K58" s="9">
        <f t="shared" ref="K58" si="559">J58/$Z58</f>
        <v>0.30769230769230771</v>
      </c>
      <c r="L58" s="5">
        <f>150</f>
        <v>150</v>
      </c>
      <c r="M58" s="9">
        <f t="shared" ref="M58" si="560">L58/$Z58</f>
        <v>0.15384615384615385</v>
      </c>
      <c r="N58" s="4"/>
      <c r="O58" s="9">
        <f t="shared" ref="O58" si="561">N58/$Z58</f>
        <v>0</v>
      </c>
      <c r="P58" s="4"/>
      <c r="Q58" s="9">
        <f t="shared" ref="Q58" si="562">P58/$Z58</f>
        <v>0</v>
      </c>
      <c r="R58" s="4"/>
      <c r="S58" s="9">
        <f t="shared" ref="S58" si="563">R58/$Z58</f>
        <v>0</v>
      </c>
      <c r="T58" s="4"/>
      <c r="U58" s="9">
        <f t="shared" ref="U58" si="564">T58/$Z58</f>
        <v>0</v>
      </c>
      <c r="V58" s="4"/>
      <c r="W58" s="9">
        <f t="shared" ref="W58" si="565">V58/$Z58</f>
        <v>0</v>
      </c>
      <c r="X58" s="4"/>
      <c r="Y58" s="9">
        <f t="shared" ref="Y58" si="566">X58/$Z58</f>
        <v>0</v>
      </c>
      <c r="Z58" s="5">
        <f t="shared" si="350"/>
        <v>975</v>
      </c>
      <c r="AA58" s="10">
        <f t="shared" si="13"/>
        <v>1</v>
      </c>
    </row>
    <row r="59" spans="1:27">
      <c r="A59" s="3" t="s">
        <v>65</v>
      </c>
      <c r="B59" s="5">
        <f>-315.9</f>
        <v>-315.89999999999998</v>
      </c>
      <c r="C59" s="9">
        <f t="shared" si="1"/>
        <v>0.21335656684361956</v>
      </c>
      <c r="D59" s="4"/>
      <c r="E59" s="9">
        <f t="shared" ref="E59" si="567">D59/$Z59</f>
        <v>0</v>
      </c>
      <c r="F59" s="5">
        <f>-45.45</f>
        <v>-45.45</v>
      </c>
      <c r="G59" s="9">
        <f t="shared" ref="G59" si="568">F59/$Z59</f>
        <v>3.069660007294242E-2</v>
      </c>
      <c r="H59" s="5">
        <f>-115.66</f>
        <v>-115.66</v>
      </c>
      <c r="I59" s="9">
        <f t="shared" ref="I59" si="569">H59/$Z59</f>
        <v>7.8115924410044446E-2</v>
      </c>
      <c r="J59" s="5">
        <f>-212.71</f>
        <v>-212.71</v>
      </c>
      <c r="K59" s="9">
        <f t="shared" ref="K59" si="570">J59/$Z59</f>
        <v>0.14366278991233403</v>
      </c>
      <c r="L59" s="5">
        <f>-315.9</f>
        <v>-315.89999999999998</v>
      </c>
      <c r="M59" s="9">
        <f t="shared" ref="M59" si="571">L59/$Z59</f>
        <v>0.21335656684361956</v>
      </c>
      <c r="N59" s="4"/>
      <c r="O59" s="9">
        <f t="shared" ref="O59" si="572">N59/$Z59</f>
        <v>0</v>
      </c>
      <c r="P59" s="4"/>
      <c r="Q59" s="9">
        <f t="shared" ref="Q59" si="573">P59/$Z59</f>
        <v>0</v>
      </c>
      <c r="R59" s="4"/>
      <c r="S59" s="9">
        <f t="shared" ref="S59" si="574">R59/$Z59</f>
        <v>0</v>
      </c>
      <c r="T59" s="4"/>
      <c r="U59" s="9">
        <f t="shared" ref="U59" si="575">T59/$Z59</f>
        <v>0</v>
      </c>
      <c r="V59" s="5">
        <f>-475</f>
        <v>-475</v>
      </c>
      <c r="W59" s="9">
        <f t="shared" ref="W59" si="576">V59/$Z59</f>
        <v>0.32081155191744004</v>
      </c>
      <c r="X59" s="4"/>
      <c r="Y59" s="9">
        <f t="shared" ref="Y59" si="577">X59/$Z59</f>
        <v>0</v>
      </c>
      <c r="Z59" s="5">
        <f t="shared" si="350"/>
        <v>-1480.62</v>
      </c>
      <c r="AA59" s="10">
        <f t="shared" si="13"/>
        <v>1</v>
      </c>
    </row>
    <row r="60" spans="1:27">
      <c r="A60" s="3" t="s">
        <v>66</v>
      </c>
      <c r="B60" s="6">
        <f t="shared" ref="B60:X60" si="578">(((B56)+(B57))+(B58))+(B59)</f>
        <v>-15.899999999999977</v>
      </c>
      <c r="C60" s="9">
        <f t="shared" si="1"/>
        <v>-1.4868428435168019E-2</v>
      </c>
      <c r="D60" s="6">
        <f t="shared" si="578"/>
        <v>0</v>
      </c>
      <c r="E60" s="9">
        <f t="shared" ref="E60" si="579">D60/$Z60</f>
        <v>0</v>
      </c>
      <c r="F60" s="6">
        <f t="shared" si="578"/>
        <v>104.55</v>
      </c>
      <c r="G60" s="9">
        <f t="shared" ref="G60" si="580">F60/$Z60</f>
        <v>9.7766930370869087E-2</v>
      </c>
      <c r="H60" s="6">
        <f t="shared" si="578"/>
        <v>1309.3399999999999</v>
      </c>
      <c r="I60" s="9">
        <f t="shared" ref="I60" si="581">H60/$Z60</f>
        <v>1.2243917036039573</v>
      </c>
      <c r="J60" s="6">
        <f t="shared" si="578"/>
        <v>237.29</v>
      </c>
      <c r="K60" s="9">
        <f t="shared" ref="K60" si="582">J60/$Z60</f>
        <v>0.22189492977239145</v>
      </c>
      <c r="L60" s="6">
        <f t="shared" si="578"/>
        <v>-90.899999999999977</v>
      </c>
      <c r="M60" s="9">
        <f t="shared" ref="M60" si="583">L60/$Z60</f>
        <v>-8.5002524827470088E-2</v>
      </c>
      <c r="N60" s="6">
        <f t="shared" si="578"/>
        <v>0</v>
      </c>
      <c r="O60" s="9">
        <f t="shared" ref="O60" si="584">N60/$Z60</f>
        <v>0</v>
      </c>
      <c r="P60" s="6">
        <f t="shared" si="578"/>
        <v>0</v>
      </c>
      <c r="Q60" s="9">
        <f t="shared" ref="Q60" si="585">P60/$Z60</f>
        <v>0</v>
      </c>
      <c r="R60" s="6">
        <f t="shared" si="578"/>
        <v>0</v>
      </c>
      <c r="S60" s="9">
        <f t="shared" ref="S60" si="586">R60/$Z60</f>
        <v>0</v>
      </c>
      <c r="T60" s="6">
        <f t="shared" si="578"/>
        <v>0</v>
      </c>
      <c r="U60" s="9">
        <f t="shared" ref="U60" si="587">T60/$Z60</f>
        <v>0</v>
      </c>
      <c r="V60" s="6">
        <f t="shared" si="578"/>
        <v>-475</v>
      </c>
      <c r="W60" s="9">
        <f t="shared" ref="W60" si="588">V60/$Z60</f>
        <v>-0.4441826104845798</v>
      </c>
      <c r="X60" s="6">
        <f t="shared" si="578"/>
        <v>0</v>
      </c>
      <c r="Y60" s="9">
        <f t="shared" ref="Y60" si="589">X60/$Z60</f>
        <v>0</v>
      </c>
      <c r="Z60" s="6">
        <f t="shared" si="350"/>
        <v>1069.3800000000001</v>
      </c>
      <c r="AA60" s="10">
        <f t="shared" si="13"/>
        <v>1</v>
      </c>
    </row>
    <row r="61" spans="1:27">
      <c r="A61" s="3" t="s">
        <v>67</v>
      </c>
      <c r="B61" s="4"/>
      <c r="C61" s="9" t="e">
        <f t="shared" si="1"/>
        <v>#DIV/0!</v>
      </c>
      <c r="D61" s="4"/>
      <c r="E61" s="9" t="e">
        <f t="shared" ref="E61" si="590">D61/$Z61</f>
        <v>#DIV/0!</v>
      </c>
      <c r="F61" s="4"/>
      <c r="G61" s="9" t="e">
        <f t="shared" ref="G61" si="591">F61/$Z61</f>
        <v>#DIV/0!</v>
      </c>
      <c r="H61" s="4"/>
      <c r="I61" s="9" t="e">
        <f t="shared" ref="I61" si="592">H61/$Z61</f>
        <v>#DIV/0!</v>
      </c>
      <c r="J61" s="4"/>
      <c r="K61" s="9" t="e">
        <f t="shared" ref="K61" si="593">J61/$Z61</f>
        <v>#DIV/0!</v>
      </c>
      <c r="L61" s="4"/>
      <c r="M61" s="9" t="e">
        <f t="shared" ref="M61" si="594">L61/$Z61</f>
        <v>#DIV/0!</v>
      </c>
      <c r="N61" s="4"/>
      <c r="O61" s="9" t="e">
        <f t="shared" ref="O61" si="595">N61/$Z61</f>
        <v>#DIV/0!</v>
      </c>
      <c r="P61" s="4"/>
      <c r="Q61" s="9" t="e">
        <f t="shared" ref="Q61" si="596">P61/$Z61</f>
        <v>#DIV/0!</v>
      </c>
      <c r="R61" s="4"/>
      <c r="S61" s="9" t="e">
        <f t="shared" ref="S61" si="597">R61/$Z61</f>
        <v>#DIV/0!</v>
      </c>
      <c r="T61" s="4"/>
      <c r="U61" s="9" t="e">
        <f t="shared" ref="U61" si="598">T61/$Z61</f>
        <v>#DIV/0!</v>
      </c>
      <c r="V61" s="4"/>
      <c r="W61" s="9" t="e">
        <f t="shared" ref="W61" si="599">V61/$Z61</f>
        <v>#DIV/0!</v>
      </c>
      <c r="X61" s="4"/>
      <c r="Y61" s="9" t="e">
        <f t="shared" ref="Y61" si="600">X61/$Z61</f>
        <v>#DIV/0!</v>
      </c>
      <c r="Z61" s="5">
        <f t="shared" si="350"/>
        <v>0</v>
      </c>
      <c r="AA61" s="10" t="e">
        <f t="shared" si="13"/>
        <v>#DIV/0!</v>
      </c>
    </row>
    <row r="62" spans="1:27">
      <c r="A62" s="3" t="s">
        <v>68</v>
      </c>
      <c r="B62" s="4"/>
      <c r="C62" s="9">
        <f t="shared" si="1"/>
        <v>0</v>
      </c>
      <c r="D62" s="5">
        <f>245</f>
        <v>245</v>
      </c>
      <c r="E62" s="9">
        <f t="shared" ref="E62" si="601">D62/$Z62</f>
        <v>3.6512667660208643E-2</v>
      </c>
      <c r="F62" s="5">
        <f>1610</f>
        <v>1610</v>
      </c>
      <c r="G62" s="9">
        <f t="shared" ref="G62" si="602">F62/$Z62</f>
        <v>0.23994038748137109</v>
      </c>
      <c r="H62" s="5">
        <f>70</f>
        <v>70</v>
      </c>
      <c r="I62" s="9">
        <f t="shared" ref="I62" si="603">H62/$Z62</f>
        <v>1.0432190760059613E-2</v>
      </c>
      <c r="J62" s="5">
        <f>700</f>
        <v>700</v>
      </c>
      <c r="K62" s="9">
        <f t="shared" ref="K62" si="604">J62/$Z62</f>
        <v>0.10432190760059612</v>
      </c>
      <c r="L62" s="5">
        <f>1085</f>
        <v>1085</v>
      </c>
      <c r="M62" s="9">
        <f t="shared" ref="M62" si="605">L62/$Z62</f>
        <v>0.161698956780924</v>
      </c>
      <c r="N62" s="5">
        <f>35</f>
        <v>35</v>
      </c>
      <c r="O62" s="9">
        <f t="shared" ref="O62" si="606">N62/$Z62</f>
        <v>5.2160953800298067E-3</v>
      </c>
      <c r="P62" s="5">
        <f>585</f>
        <v>585</v>
      </c>
      <c r="Q62" s="9">
        <f t="shared" ref="Q62" si="607">P62/$Z62</f>
        <v>8.7183308494783909E-2</v>
      </c>
      <c r="R62" s="5">
        <f>875</f>
        <v>875</v>
      </c>
      <c r="S62" s="9">
        <f t="shared" ref="S62" si="608">R62/$Z62</f>
        <v>0.13040238450074515</v>
      </c>
      <c r="T62" s="5">
        <f>70</f>
        <v>70</v>
      </c>
      <c r="U62" s="9">
        <f t="shared" ref="U62" si="609">T62/$Z62</f>
        <v>1.0432190760059613E-2</v>
      </c>
      <c r="V62" s="5">
        <f>1295</f>
        <v>1295</v>
      </c>
      <c r="W62" s="9">
        <f t="shared" ref="W62" si="610">V62/$Z62</f>
        <v>0.19299552906110284</v>
      </c>
      <c r="X62" s="5">
        <f>140</f>
        <v>140</v>
      </c>
      <c r="Y62" s="9">
        <f t="shared" ref="Y62" si="611">X62/$Z62</f>
        <v>2.0864381520119227E-2</v>
      </c>
      <c r="Z62" s="5">
        <f t="shared" si="350"/>
        <v>6710</v>
      </c>
      <c r="AA62" s="10">
        <f t="shared" si="13"/>
        <v>1</v>
      </c>
    </row>
    <row r="63" spans="1:27">
      <c r="A63" s="3" t="s">
        <v>69</v>
      </c>
      <c r="B63" s="5">
        <f>425</f>
        <v>425</v>
      </c>
      <c r="C63" s="9">
        <f t="shared" si="1"/>
        <v>3.7037037037037035E-2</v>
      </c>
      <c r="D63" s="5">
        <f>5525</f>
        <v>5525</v>
      </c>
      <c r="E63" s="9">
        <f t="shared" ref="E63" si="612">D63/$Z63</f>
        <v>0.48148148148148145</v>
      </c>
      <c r="F63" s="5">
        <f>2250</f>
        <v>2250</v>
      </c>
      <c r="G63" s="9">
        <f t="shared" ref="G63" si="613">F63/$Z63</f>
        <v>0.19607843137254902</v>
      </c>
      <c r="H63" s="5">
        <f>425</f>
        <v>425</v>
      </c>
      <c r="I63" s="9">
        <f t="shared" ref="I63" si="614">H63/$Z63</f>
        <v>3.7037037037037035E-2</v>
      </c>
      <c r="J63" s="5">
        <f>575</f>
        <v>575</v>
      </c>
      <c r="K63" s="9">
        <f t="shared" ref="K63" si="615">J63/$Z63</f>
        <v>5.0108932461873638E-2</v>
      </c>
      <c r="L63" s="5">
        <f>850</f>
        <v>850</v>
      </c>
      <c r="M63" s="9">
        <f t="shared" ref="M63" si="616">L63/$Z63</f>
        <v>7.407407407407407E-2</v>
      </c>
      <c r="N63" s="4"/>
      <c r="O63" s="9">
        <f t="shared" ref="O63" si="617">N63/$Z63</f>
        <v>0</v>
      </c>
      <c r="P63" s="4"/>
      <c r="Q63" s="9">
        <f t="shared" ref="Q63" si="618">P63/$Z63</f>
        <v>0</v>
      </c>
      <c r="R63" s="4"/>
      <c r="S63" s="9">
        <f t="shared" ref="S63" si="619">R63/$Z63</f>
        <v>0</v>
      </c>
      <c r="T63" s="4"/>
      <c r="U63" s="9">
        <f t="shared" ref="U63" si="620">T63/$Z63</f>
        <v>0</v>
      </c>
      <c r="V63" s="5">
        <f>850</f>
        <v>850</v>
      </c>
      <c r="W63" s="9">
        <f t="shared" ref="W63" si="621">V63/$Z63</f>
        <v>7.407407407407407E-2</v>
      </c>
      <c r="X63" s="5">
        <f>575</f>
        <v>575</v>
      </c>
      <c r="Y63" s="9">
        <f t="shared" ref="Y63" si="622">X63/$Z63</f>
        <v>5.0108932461873638E-2</v>
      </c>
      <c r="Z63" s="5">
        <f t="shared" si="350"/>
        <v>11475</v>
      </c>
      <c r="AA63" s="10">
        <f t="shared" si="13"/>
        <v>1</v>
      </c>
    </row>
    <row r="64" spans="1:27">
      <c r="A64" s="3" t="s">
        <v>70</v>
      </c>
      <c r="B64" s="4"/>
      <c r="C64" s="9">
        <f t="shared" si="1"/>
        <v>0</v>
      </c>
      <c r="D64" s="4"/>
      <c r="E64" s="9">
        <f t="shared" ref="E64" si="623">D64/$Z64</f>
        <v>0</v>
      </c>
      <c r="F64" s="5">
        <f>-428.68</f>
        <v>-428.68</v>
      </c>
      <c r="G64" s="9">
        <f t="shared" ref="G64" si="624">F64/$Z64</f>
        <v>4.1561634698167212E-2</v>
      </c>
      <c r="H64" s="5">
        <f>-3782.93</f>
        <v>-3782.93</v>
      </c>
      <c r="I64" s="9">
        <f t="shared" ref="I64" si="625">H64/$Z64</f>
        <v>0.36676484731906706</v>
      </c>
      <c r="J64" s="5">
        <f>123.83</f>
        <v>123.83</v>
      </c>
      <c r="K64" s="9">
        <f t="shared" ref="K64" si="626">J64/$Z64</f>
        <v>-1.2005638762419626E-2</v>
      </c>
      <c r="L64" s="4"/>
      <c r="M64" s="9">
        <f t="shared" ref="M64" si="627">L64/$Z64</f>
        <v>0</v>
      </c>
      <c r="N64" s="5">
        <f>-2146.54</f>
        <v>-2146.54</v>
      </c>
      <c r="O64" s="9">
        <f t="shared" ref="O64" si="628">N64/$Z64</f>
        <v>0.20811260461184064</v>
      </c>
      <c r="P64" s="4"/>
      <c r="Q64" s="9">
        <f t="shared" ref="Q64" si="629">P64/$Z64</f>
        <v>0</v>
      </c>
      <c r="R64" s="5">
        <f>-2750</f>
        <v>-2750</v>
      </c>
      <c r="S64" s="9">
        <f t="shared" ref="S64" si="630">R64/$Z64</f>
        <v>0.26661961234477893</v>
      </c>
      <c r="T64" s="4"/>
      <c r="U64" s="9">
        <f t="shared" ref="U64" si="631">T64/$Z64</f>
        <v>0</v>
      </c>
      <c r="V64" s="4"/>
      <c r="W64" s="9">
        <f t="shared" ref="W64" si="632">V64/$Z64</f>
        <v>0</v>
      </c>
      <c r="X64" s="5">
        <f>-1330</f>
        <v>-1330</v>
      </c>
      <c r="Y64" s="9">
        <f t="shared" ref="Y64" si="633">X64/$Z64</f>
        <v>0.12894693978856581</v>
      </c>
      <c r="Z64" s="5">
        <f t="shared" si="350"/>
        <v>-10314.32</v>
      </c>
      <c r="AA64" s="10">
        <f t="shared" si="13"/>
        <v>1</v>
      </c>
    </row>
    <row r="65" spans="1:27">
      <c r="A65" s="3" t="s">
        <v>71</v>
      </c>
      <c r="B65" s="6">
        <f t="shared" ref="B65:X65" si="634">(((B61)+(B62))+(B63))+(B64)</f>
        <v>425</v>
      </c>
      <c r="C65" s="9">
        <f t="shared" si="1"/>
        <v>5.3997875660044617E-2</v>
      </c>
      <c r="D65" s="6">
        <f t="shared" si="634"/>
        <v>5770</v>
      </c>
      <c r="E65" s="9">
        <f t="shared" ref="E65" si="635">D65/$Z65</f>
        <v>0.73310057072578227</v>
      </c>
      <c r="F65" s="6">
        <f t="shared" si="634"/>
        <v>3431.32</v>
      </c>
      <c r="G65" s="9">
        <f t="shared" ref="G65" si="636">F65/$Z65</f>
        <v>0.43596233108193955</v>
      </c>
      <c r="H65" s="6">
        <f t="shared" si="634"/>
        <v>-3287.93</v>
      </c>
      <c r="I65" s="9">
        <f t="shared" ref="I65" si="637">H65/$Z65</f>
        <v>-0.41774408310336586</v>
      </c>
      <c r="J65" s="6">
        <f t="shared" si="634"/>
        <v>1398.83</v>
      </c>
      <c r="K65" s="9">
        <f t="shared" ref="K65" si="638">J65/$Z65</f>
        <v>0.17772670214009462</v>
      </c>
      <c r="L65" s="6">
        <f t="shared" si="634"/>
        <v>1935</v>
      </c>
      <c r="M65" s="9">
        <f t="shared" ref="M65" si="639">L65/$Z65</f>
        <v>0.24584915153455608</v>
      </c>
      <c r="N65" s="6">
        <f t="shared" si="634"/>
        <v>-2111.54</v>
      </c>
      <c r="O65" s="9">
        <f t="shared" ref="O65" si="640">N65/$Z65</f>
        <v>-0.26827923381461322</v>
      </c>
      <c r="P65" s="6">
        <f t="shared" si="634"/>
        <v>585</v>
      </c>
      <c r="Q65" s="9">
        <f t="shared" ref="Q65" si="641">P65/$Z65</f>
        <v>7.4326487673237893E-2</v>
      </c>
      <c r="R65" s="6">
        <f t="shared" si="634"/>
        <v>-1875</v>
      </c>
      <c r="S65" s="9">
        <f t="shared" ref="S65" si="642">R65/$Z65</f>
        <v>-0.23822592202960863</v>
      </c>
      <c r="T65" s="6">
        <f t="shared" si="634"/>
        <v>70</v>
      </c>
      <c r="U65" s="9">
        <f t="shared" ref="U65" si="643">T65/$Z65</f>
        <v>8.8937677557720547E-3</v>
      </c>
      <c r="V65" s="6">
        <f t="shared" si="634"/>
        <v>2145</v>
      </c>
      <c r="W65" s="9">
        <f t="shared" ref="W65" si="644">V65/$Z65</f>
        <v>0.27253045480187227</v>
      </c>
      <c r="X65" s="6">
        <f t="shared" si="634"/>
        <v>-615</v>
      </c>
      <c r="Y65" s="9">
        <f t="shared" ref="Y65" si="645">X65/$Z65</f>
        <v>-7.813810242571162E-2</v>
      </c>
      <c r="Z65" s="6">
        <f t="shared" si="350"/>
        <v>7870.68</v>
      </c>
      <c r="AA65" s="10">
        <f t="shared" si="13"/>
        <v>1</v>
      </c>
    </row>
    <row r="66" spans="1:27">
      <c r="A66" s="3" t="s">
        <v>72</v>
      </c>
      <c r="B66" s="4"/>
      <c r="C66" s="9" t="e">
        <f t="shared" si="1"/>
        <v>#DIV/0!</v>
      </c>
      <c r="D66" s="4"/>
      <c r="E66" s="9" t="e">
        <f t="shared" ref="E66" si="646">D66/$Z66</f>
        <v>#DIV/0!</v>
      </c>
      <c r="F66" s="4"/>
      <c r="G66" s="9" t="e">
        <f t="shared" ref="G66" si="647">F66/$Z66</f>
        <v>#DIV/0!</v>
      </c>
      <c r="H66" s="4"/>
      <c r="I66" s="9" t="e">
        <f t="shared" ref="I66" si="648">H66/$Z66</f>
        <v>#DIV/0!</v>
      </c>
      <c r="J66" s="4"/>
      <c r="K66" s="9" t="e">
        <f t="shared" ref="K66" si="649">J66/$Z66</f>
        <v>#DIV/0!</v>
      </c>
      <c r="L66" s="4"/>
      <c r="M66" s="9" t="e">
        <f t="shared" ref="M66" si="650">L66/$Z66</f>
        <v>#DIV/0!</v>
      </c>
      <c r="N66" s="4"/>
      <c r="O66" s="9" t="e">
        <f t="shared" ref="O66" si="651">N66/$Z66</f>
        <v>#DIV/0!</v>
      </c>
      <c r="P66" s="4"/>
      <c r="Q66" s="9" t="e">
        <f t="shared" ref="Q66" si="652">P66/$Z66</f>
        <v>#DIV/0!</v>
      </c>
      <c r="R66" s="4"/>
      <c r="S66" s="9" t="e">
        <f t="shared" ref="S66" si="653">R66/$Z66</f>
        <v>#DIV/0!</v>
      </c>
      <c r="T66" s="4"/>
      <c r="U66" s="9" t="e">
        <f t="shared" ref="U66" si="654">T66/$Z66</f>
        <v>#DIV/0!</v>
      </c>
      <c r="V66" s="4"/>
      <c r="W66" s="9" t="e">
        <f t="shared" ref="W66" si="655">V66/$Z66</f>
        <v>#DIV/0!</v>
      </c>
      <c r="X66" s="4"/>
      <c r="Y66" s="9" t="e">
        <f t="shared" ref="Y66" si="656">X66/$Z66</f>
        <v>#DIV/0!</v>
      </c>
      <c r="Z66" s="5">
        <f t="shared" si="350"/>
        <v>0</v>
      </c>
      <c r="AA66" s="10" t="e">
        <f t="shared" si="13"/>
        <v>#DIV/0!</v>
      </c>
    </row>
    <row r="67" spans="1:27">
      <c r="A67" s="3" t="s">
        <v>73</v>
      </c>
      <c r="B67" s="5">
        <f>450</f>
        <v>450</v>
      </c>
      <c r="C67" s="9">
        <f t="shared" si="1"/>
        <v>0.10727056019070322</v>
      </c>
      <c r="D67" s="5">
        <f>380</f>
        <v>380</v>
      </c>
      <c r="E67" s="9">
        <f t="shared" ref="E67" si="657">D67/$Z67</f>
        <v>9.0584028605482717E-2</v>
      </c>
      <c r="F67" s="5">
        <f>870</f>
        <v>870</v>
      </c>
      <c r="G67" s="9">
        <f t="shared" ref="G67" si="658">F67/$Z67</f>
        <v>0.20738974970202623</v>
      </c>
      <c r="H67" s="5">
        <f>485</f>
        <v>485</v>
      </c>
      <c r="I67" s="9">
        <f t="shared" ref="I67" si="659">H67/$Z67</f>
        <v>0.11561382598331346</v>
      </c>
      <c r="J67" s="5">
        <f>385</f>
        <v>385</v>
      </c>
      <c r="K67" s="9">
        <f t="shared" ref="K67" si="660">J67/$Z67</f>
        <v>9.1775923718712751E-2</v>
      </c>
      <c r="L67" s="5">
        <f>635</f>
        <v>635</v>
      </c>
      <c r="M67" s="9">
        <f t="shared" ref="M67" si="661">L67/$Z67</f>
        <v>0.15137067938021453</v>
      </c>
      <c r="N67" s="5">
        <f>175</f>
        <v>175</v>
      </c>
      <c r="O67" s="9">
        <f t="shared" ref="O67" si="662">N67/$Z67</f>
        <v>4.1716328963051254E-2</v>
      </c>
      <c r="P67" s="5">
        <f>40</f>
        <v>40</v>
      </c>
      <c r="Q67" s="9">
        <f t="shared" ref="Q67" si="663">P67/$Z67</f>
        <v>9.5351609058402856E-3</v>
      </c>
      <c r="R67" s="5">
        <f>230</f>
        <v>230</v>
      </c>
      <c r="S67" s="9">
        <f t="shared" ref="S67" si="664">R67/$Z67</f>
        <v>5.4827175208581644E-2</v>
      </c>
      <c r="T67" s="5">
        <f>125</f>
        <v>125</v>
      </c>
      <c r="U67" s="9">
        <f t="shared" ref="U67" si="665">T67/$Z67</f>
        <v>2.9797377830750895E-2</v>
      </c>
      <c r="V67" s="5">
        <f>360</f>
        <v>360</v>
      </c>
      <c r="W67" s="9">
        <f t="shared" ref="W67" si="666">V67/$Z67</f>
        <v>8.5816448152562577E-2</v>
      </c>
      <c r="X67" s="5">
        <f>60</f>
        <v>60</v>
      </c>
      <c r="Y67" s="9">
        <f t="shared" ref="Y67" si="667">X67/$Z67</f>
        <v>1.4302741358760428E-2</v>
      </c>
      <c r="Z67" s="5">
        <f t="shared" si="350"/>
        <v>4195</v>
      </c>
      <c r="AA67" s="10">
        <f t="shared" si="13"/>
        <v>1</v>
      </c>
    </row>
    <row r="68" spans="1:27">
      <c r="A68" s="3" t="s">
        <v>74</v>
      </c>
      <c r="B68" s="4"/>
      <c r="C68" s="9">
        <f t="shared" si="1"/>
        <v>0</v>
      </c>
      <c r="D68" s="4"/>
      <c r="E68" s="9">
        <f t="shared" ref="E68" si="668">D68/$Z68</f>
        <v>0</v>
      </c>
      <c r="F68" s="5">
        <f>-1105.76</f>
        <v>-1105.76</v>
      </c>
      <c r="G68" s="9">
        <f t="shared" ref="G68" si="669">F68/$Z68</f>
        <v>0.21878777925734513</v>
      </c>
      <c r="H68" s="5">
        <f>-890.4</f>
        <v>-890.4</v>
      </c>
      <c r="I68" s="9">
        <f t="shared" ref="I68" si="670">H68/$Z68</f>
        <v>0.17617623955536474</v>
      </c>
      <c r="J68" s="5">
        <f>-556.5</f>
        <v>-556.5</v>
      </c>
      <c r="K68" s="9">
        <f t="shared" ref="K68" si="671">J68/$Z68</f>
        <v>0.11011014972210297</v>
      </c>
      <c r="L68" s="5">
        <f>-500.28</f>
        <v>-500.28</v>
      </c>
      <c r="M68" s="9">
        <f t="shared" ref="M68" si="672">L68/$Z68</f>
        <v>9.8986353464463009E-2</v>
      </c>
      <c r="N68" s="5">
        <f>-867.14</f>
        <v>-867.14</v>
      </c>
      <c r="O68" s="9">
        <f t="shared" ref="O68" si="673">N68/$Z68</f>
        <v>0.17157397166221808</v>
      </c>
      <c r="P68" s="4"/>
      <c r="Q68" s="9">
        <f t="shared" ref="Q68" si="674">P68/$Z68</f>
        <v>0</v>
      </c>
      <c r="R68" s="4"/>
      <c r="S68" s="9">
        <f t="shared" ref="S68" si="675">R68/$Z68</f>
        <v>0</v>
      </c>
      <c r="T68" s="4"/>
      <c r="U68" s="9">
        <f t="shared" ref="U68" si="676">T68/$Z68</f>
        <v>0</v>
      </c>
      <c r="V68" s="5">
        <f>-667.03</f>
        <v>-667.03</v>
      </c>
      <c r="W68" s="9">
        <f t="shared" ref="W68" si="677">V68/$Z68</f>
        <v>0.13197982600024138</v>
      </c>
      <c r="X68" s="5">
        <f>-466.92</f>
        <v>-466.92</v>
      </c>
      <c r="Y68" s="9">
        <f t="shared" ref="Y68" si="678">X68/$Z68</f>
        <v>9.238568033826472E-2</v>
      </c>
      <c r="Z68" s="5">
        <f t="shared" si="350"/>
        <v>-5054.03</v>
      </c>
      <c r="AA68" s="10">
        <f t="shared" si="13"/>
        <v>1</v>
      </c>
    </row>
    <row r="69" spans="1:27">
      <c r="A69" s="3" t="s">
        <v>75</v>
      </c>
      <c r="B69" s="6">
        <f t="shared" ref="B69:X69" si="679">((B66)+(B67))+(B68)</f>
        <v>450</v>
      </c>
      <c r="C69" s="9">
        <f t="shared" si="1"/>
        <v>-0.52384666426085236</v>
      </c>
      <c r="D69" s="6">
        <f t="shared" si="679"/>
        <v>380</v>
      </c>
      <c r="E69" s="9">
        <f t="shared" ref="E69" si="680">D69/$Z69</f>
        <v>-0.44235940537583091</v>
      </c>
      <c r="F69" s="6">
        <f t="shared" si="679"/>
        <v>-235.76</v>
      </c>
      <c r="G69" s="9">
        <f t="shared" ref="G69" si="681">F69/$Z69</f>
        <v>0.27444908792475231</v>
      </c>
      <c r="H69" s="6">
        <f t="shared" si="679"/>
        <v>-405.4</v>
      </c>
      <c r="I69" s="9">
        <f t="shared" ref="I69" si="682">H69/$Z69</f>
        <v>0.47192763931411008</v>
      </c>
      <c r="J69" s="6">
        <f t="shared" si="679"/>
        <v>-171.5</v>
      </c>
      <c r="K69" s="9">
        <f t="shared" ref="K69" si="683">J69/$Z69</f>
        <v>0.19964378426830262</v>
      </c>
      <c r="L69" s="6">
        <f t="shared" si="679"/>
        <v>134.72000000000003</v>
      </c>
      <c r="M69" s="9">
        <f t="shared" ref="M69" si="684">L69/$Z69</f>
        <v>-0.15682805024271565</v>
      </c>
      <c r="N69" s="6">
        <f t="shared" si="679"/>
        <v>-692.14</v>
      </c>
      <c r="O69" s="9">
        <f t="shared" ref="O69" si="685">N69/$Z69</f>
        <v>0.80572273378112524</v>
      </c>
      <c r="P69" s="6">
        <f t="shared" si="679"/>
        <v>40</v>
      </c>
      <c r="Q69" s="9">
        <f t="shared" ref="Q69" si="686">P69/$Z69</f>
        <v>-4.6564147934297986E-2</v>
      </c>
      <c r="R69" s="6">
        <f t="shared" si="679"/>
        <v>230</v>
      </c>
      <c r="S69" s="9">
        <f t="shared" ref="S69" si="687">R69/$Z69</f>
        <v>-0.26774385062221345</v>
      </c>
      <c r="T69" s="6">
        <f t="shared" si="679"/>
        <v>125</v>
      </c>
      <c r="U69" s="9">
        <f t="shared" ref="U69" si="688">T69/$Z69</f>
        <v>-0.14551296229468122</v>
      </c>
      <c r="V69" s="6">
        <f t="shared" si="679"/>
        <v>-307.02999999999997</v>
      </c>
      <c r="W69" s="9">
        <f t="shared" ref="W69" si="689">V69/$Z69</f>
        <v>0.35741475850668775</v>
      </c>
      <c r="X69" s="6">
        <f t="shared" si="679"/>
        <v>-406.92</v>
      </c>
      <c r="Y69" s="9">
        <f t="shared" ref="Y69" si="690">X69/$Z69</f>
        <v>0.47369707693561347</v>
      </c>
      <c r="Z69" s="6">
        <f t="shared" si="350"/>
        <v>-859.03</v>
      </c>
      <c r="AA69" s="10">
        <f t="shared" si="13"/>
        <v>1</v>
      </c>
    </row>
    <row r="70" spans="1:27">
      <c r="A70" s="3" t="s">
        <v>76</v>
      </c>
      <c r="B70" s="6">
        <f t="shared" ref="B70:X70" si="691">(((B55)+(B60))+(B65))+(B69)</f>
        <v>859.1</v>
      </c>
      <c r="C70" s="9">
        <f t="shared" si="1"/>
        <v>0.10631070544225181</v>
      </c>
      <c r="D70" s="6">
        <f t="shared" si="691"/>
        <v>6150</v>
      </c>
      <c r="E70" s="9">
        <f t="shared" ref="E70" si="692">D70/$Z70</f>
        <v>0.76104159989506304</v>
      </c>
      <c r="F70" s="6">
        <f t="shared" si="691"/>
        <v>3300.1100000000006</v>
      </c>
      <c r="G70" s="9">
        <f t="shared" ref="G70" si="693">F70/$Z70</f>
        <v>0.40837739743572304</v>
      </c>
      <c r="H70" s="6">
        <f t="shared" si="691"/>
        <v>-2383.9899999999998</v>
      </c>
      <c r="I70" s="9">
        <f t="shared" ref="I70" si="694">H70/$Z70</f>
        <v>-0.29501066076972865</v>
      </c>
      <c r="J70" s="6">
        <f t="shared" si="691"/>
        <v>1464.62</v>
      </c>
      <c r="K70" s="9">
        <f t="shared" ref="K70" si="695">J70/$Z70</f>
        <v>0.1812417476485052</v>
      </c>
      <c r="L70" s="6">
        <f t="shared" si="691"/>
        <v>1978.82</v>
      </c>
      <c r="M70" s="9">
        <f t="shared" ref="M70" si="696">L70/$Z70</f>
        <v>0.24487225019582903</v>
      </c>
      <c r="N70" s="6">
        <f t="shared" si="691"/>
        <v>-2803.68</v>
      </c>
      <c r="O70" s="9">
        <f t="shared" ref="O70" si="697">N70/$Z70</f>
        <v>-0.34694587199899024</v>
      </c>
      <c r="P70" s="6">
        <f t="shared" si="691"/>
        <v>625</v>
      </c>
      <c r="Q70" s="9">
        <f t="shared" ref="Q70" si="698">P70/$Z70</f>
        <v>7.7341626005595826E-2</v>
      </c>
      <c r="R70" s="6">
        <f t="shared" si="691"/>
        <v>-1645</v>
      </c>
      <c r="S70" s="9">
        <f t="shared" ref="S70" si="699">R70/$Z70</f>
        <v>-0.20356315964672822</v>
      </c>
      <c r="T70" s="6">
        <f t="shared" si="691"/>
        <v>195</v>
      </c>
      <c r="U70" s="9">
        <f t="shared" ref="U70" si="700">T70/$Z70</f>
        <v>2.4130587313745899E-2</v>
      </c>
      <c r="V70" s="6">
        <f t="shared" si="691"/>
        <v>1362.97</v>
      </c>
      <c r="W70" s="9">
        <f t="shared" ref="W70" si="701">V70/$Z70</f>
        <v>0.16866290559495511</v>
      </c>
      <c r="X70" s="6">
        <f t="shared" si="691"/>
        <v>-1021.9200000000001</v>
      </c>
      <c r="Y70" s="9">
        <f t="shared" ref="Y70" si="702">X70/$Z70</f>
        <v>-0.12645912711622159</v>
      </c>
      <c r="Z70" s="6">
        <f t="shared" si="350"/>
        <v>8081.0299999999988</v>
      </c>
      <c r="AA70" s="10">
        <f t="shared" si="13"/>
        <v>1</v>
      </c>
    </row>
    <row r="71" spans="1:27">
      <c r="A71" s="3" t="s">
        <v>77</v>
      </c>
      <c r="B71" s="6">
        <f t="shared" ref="B71:X71" si="703">((((B11)+(B44))+(B51))+(B54))+(B70)</f>
        <v>16701.629999999997</v>
      </c>
      <c r="C71" s="9">
        <f t="shared" si="1"/>
        <v>9.6688834808890595E-2</v>
      </c>
      <c r="D71" s="6">
        <f t="shared" si="703"/>
        <v>17970.829999999998</v>
      </c>
      <c r="E71" s="9">
        <f t="shared" ref="E71" si="704">D71/$Z71</f>
        <v>0.1040364690900622</v>
      </c>
      <c r="F71" s="6">
        <f t="shared" si="703"/>
        <v>19710.75</v>
      </c>
      <c r="G71" s="9">
        <f t="shared" ref="G71" si="705">F71/$Z71</f>
        <v>0.11410918878632448</v>
      </c>
      <c r="H71" s="6">
        <f t="shared" si="703"/>
        <v>-1749.1400000000003</v>
      </c>
      <c r="I71" s="9">
        <f t="shared" ref="I71" si="706">H71/$Z71</f>
        <v>-1.0126095986896066E-2</v>
      </c>
      <c r="J71" s="6">
        <f t="shared" si="703"/>
        <v>27233.129999999997</v>
      </c>
      <c r="K71" s="9">
        <f t="shared" ref="K71" si="707">J71/$Z71</f>
        <v>0.15765764227198439</v>
      </c>
      <c r="L71" s="6">
        <f t="shared" si="703"/>
        <v>17688.78</v>
      </c>
      <c r="M71" s="9">
        <f t="shared" ref="M71" si="708">L71/$Z71</f>
        <v>0.1024036293098822</v>
      </c>
      <c r="N71" s="6">
        <f t="shared" si="703"/>
        <v>23676</v>
      </c>
      <c r="O71" s="9">
        <f t="shared" ref="O71" si="709">N71/$Z71</f>
        <v>0.13706475672945059</v>
      </c>
      <c r="P71" s="6">
        <f t="shared" si="703"/>
        <v>16572.23</v>
      </c>
      <c r="Q71" s="9">
        <f t="shared" ref="Q71" si="710">P71/$Z71</f>
        <v>9.5939714200646356E-2</v>
      </c>
      <c r="R71" s="6">
        <f t="shared" si="703"/>
        <v>7484.5499999999993</v>
      </c>
      <c r="S71" s="9">
        <f t="shared" ref="S71" si="711">R71/$Z71</f>
        <v>4.3329448596866424E-2</v>
      </c>
      <c r="T71" s="6">
        <f t="shared" si="703"/>
        <v>8205.83</v>
      </c>
      <c r="U71" s="9">
        <f t="shared" ref="U71" si="712">T71/$Z71</f>
        <v>4.7505072339636238E-2</v>
      </c>
      <c r="V71" s="6">
        <f t="shared" si="703"/>
        <v>24294.120000000003</v>
      </c>
      <c r="W71" s="9">
        <f t="shared" ref="W71" si="713">V71/$Z71</f>
        <v>0.14064316809241767</v>
      </c>
      <c r="X71" s="6">
        <f t="shared" si="703"/>
        <v>-5052.8400000000011</v>
      </c>
      <c r="Y71" s="9">
        <f t="shared" ref="Y71" si="714">X71/$Z71</f>
        <v>-2.9251828239264966E-2</v>
      </c>
      <c r="Z71" s="6">
        <f t="shared" ref="Z71:Z72" si="715">(((((((((((B71)+(D71))+(F71))+(H71))+(J71))+(L71))+(N71))+(P71))+(R71))+(T71))+(V71))+(X71)</f>
        <v>172735.86999999997</v>
      </c>
      <c r="AA71" s="10">
        <f t="shared" si="13"/>
        <v>1.0000000000000002</v>
      </c>
    </row>
    <row r="72" spans="1:27">
      <c r="A72" s="3" t="s">
        <v>78</v>
      </c>
      <c r="B72" s="6">
        <f t="shared" ref="B72:X72" si="716">(B71)-(0)</f>
        <v>16701.629999999997</v>
      </c>
      <c r="C72" s="9">
        <f t="shared" ref="C72:C118" si="717">B72/$Z72</f>
        <v>9.6688834808890595E-2</v>
      </c>
      <c r="D72" s="6">
        <f t="shared" si="716"/>
        <v>17970.829999999998</v>
      </c>
      <c r="E72" s="9">
        <f t="shared" ref="E72" si="718">D72/$Z72</f>
        <v>0.1040364690900622</v>
      </c>
      <c r="F72" s="6">
        <f t="shared" si="716"/>
        <v>19710.75</v>
      </c>
      <c r="G72" s="9">
        <f t="shared" ref="G72" si="719">F72/$Z72</f>
        <v>0.11410918878632448</v>
      </c>
      <c r="H72" s="6">
        <f t="shared" si="716"/>
        <v>-1749.1400000000003</v>
      </c>
      <c r="I72" s="9">
        <f t="shared" ref="I72" si="720">H72/$Z72</f>
        <v>-1.0126095986896066E-2</v>
      </c>
      <c r="J72" s="6">
        <f t="shared" si="716"/>
        <v>27233.129999999997</v>
      </c>
      <c r="K72" s="9">
        <f t="shared" ref="K72" si="721">J72/$Z72</f>
        <v>0.15765764227198439</v>
      </c>
      <c r="L72" s="6">
        <f t="shared" si="716"/>
        <v>17688.78</v>
      </c>
      <c r="M72" s="9">
        <f t="shared" ref="M72" si="722">L72/$Z72</f>
        <v>0.1024036293098822</v>
      </c>
      <c r="N72" s="6">
        <f t="shared" si="716"/>
        <v>23676</v>
      </c>
      <c r="O72" s="9">
        <f t="shared" ref="O72" si="723">N72/$Z72</f>
        <v>0.13706475672945059</v>
      </c>
      <c r="P72" s="6">
        <f t="shared" si="716"/>
        <v>16572.23</v>
      </c>
      <c r="Q72" s="9">
        <f t="shared" ref="Q72" si="724">P72/$Z72</f>
        <v>9.5939714200646356E-2</v>
      </c>
      <c r="R72" s="6">
        <f t="shared" si="716"/>
        <v>7484.5499999999993</v>
      </c>
      <c r="S72" s="9">
        <f t="shared" ref="S72" si="725">R72/$Z72</f>
        <v>4.3329448596866424E-2</v>
      </c>
      <c r="T72" s="6">
        <f t="shared" si="716"/>
        <v>8205.83</v>
      </c>
      <c r="U72" s="9">
        <f t="shared" ref="U72" si="726">T72/$Z72</f>
        <v>4.7505072339636238E-2</v>
      </c>
      <c r="V72" s="6">
        <f t="shared" si="716"/>
        <v>24294.120000000003</v>
      </c>
      <c r="W72" s="9">
        <f t="shared" ref="W72" si="727">V72/$Z72</f>
        <v>0.14064316809241767</v>
      </c>
      <c r="X72" s="6">
        <f t="shared" si="716"/>
        <v>-5052.8400000000011</v>
      </c>
      <c r="Y72" s="9">
        <f t="shared" ref="Y72" si="728">X72/$Z72</f>
        <v>-2.9251828239264966E-2</v>
      </c>
      <c r="Z72" s="6">
        <f t="shared" si="715"/>
        <v>172735.86999999997</v>
      </c>
      <c r="AA72" s="10">
        <f t="shared" si="13"/>
        <v>1.0000000000000002</v>
      </c>
    </row>
    <row r="73" spans="1:27">
      <c r="A73" s="3" t="s">
        <v>79</v>
      </c>
      <c r="B73" s="4"/>
      <c r="C73" s="9" t="e">
        <f t="shared" si="717"/>
        <v>#DIV/0!</v>
      </c>
      <c r="D73" s="4"/>
      <c r="E73" s="9" t="e">
        <f t="shared" ref="E73" si="729">D73/$Z73</f>
        <v>#DIV/0!</v>
      </c>
      <c r="F73" s="4"/>
      <c r="G73" s="9" t="e">
        <f t="shared" ref="G73" si="730">F73/$Z73</f>
        <v>#DIV/0!</v>
      </c>
      <c r="H73" s="4"/>
      <c r="I73" s="9" t="e">
        <f t="shared" ref="I73" si="731">H73/$Z73</f>
        <v>#DIV/0!</v>
      </c>
      <c r="J73" s="4"/>
      <c r="K73" s="9" t="e">
        <f t="shared" ref="K73" si="732">J73/$Z73</f>
        <v>#DIV/0!</v>
      </c>
      <c r="L73" s="4"/>
      <c r="M73" s="9" t="e">
        <f t="shared" ref="M73" si="733">L73/$Z73</f>
        <v>#DIV/0!</v>
      </c>
      <c r="N73" s="4"/>
      <c r="O73" s="9" t="e">
        <f t="shared" ref="O73" si="734">N73/$Z73</f>
        <v>#DIV/0!</v>
      </c>
      <c r="P73" s="4"/>
      <c r="Q73" s="9" t="e">
        <f t="shared" ref="Q73" si="735">P73/$Z73</f>
        <v>#DIV/0!</v>
      </c>
      <c r="R73" s="4"/>
      <c r="S73" s="9" t="e">
        <f t="shared" ref="S73" si="736">R73/$Z73</f>
        <v>#DIV/0!</v>
      </c>
      <c r="T73" s="4"/>
      <c r="U73" s="9" t="e">
        <f t="shared" ref="U73" si="737">T73/$Z73</f>
        <v>#DIV/0!</v>
      </c>
      <c r="V73" s="4"/>
      <c r="W73" s="9" t="e">
        <f t="shared" ref="W73" si="738">V73/$Z73</f>
        <v>#DIV/0!</v>
      </c>
      <c r="X73" s="4"/>
      <c r="Y73" s="9" t="e">
        <f t="shared" ref="Y73" si="739">X73/$Z73</f>
        <v>#DIV/0!</v>
      </c>
      <c r="Z73" s="4"/>
      <c r="AA73" s="10" t="e">
        <f t="shared" ref="AA73:AA118" si="740">C73+E73+G73+I73+K73+M73+O73+Q73+S73+U73+W73+Y73</f>
        <v>#DIV/0!</v>
      </c>
    </row>
    <row r="74" spans="1:27">
      <c r="A74" s="3" t="s">
        <v>80</v>
      </c>
      <c r="B74" s="4"/>
      <c r="C74" s="9">
        <f t="shared" si="717"/>
        <v>0</v>
      </c>
      <c r="D74" s="4"/>
      <c r="E74" s="9">
        <f t="shared" ref="E74" si="741">D74/$Z74</f>
        <v>0</v>
      </c>
      <c r="F74" s="4"/>
      <c r="G74" s="9">
        <f t="shared" ref="G74" si="742">F74/$Z74</f>
        <v>0</v>
      </c>
      <c r="H74" s="4"/>
      <c r="I74" s="9">
        <f t="shared" ref="I74" si="743">H74/$Z74</f>
        <v>0</v>
      </c>
      <c r="J74" s="4"/>
      <c r="K74" s="9">
        <f t="shared" ref="K74" si="744">J74/$Z74</f>
        <v>0</v>
      </c>
      <c r="L74" s="4"/>
      <c r="M74" s="9">
        <f t="shared" ref="M74" si="745">L74/$Z74</f>
        <v>0</v>
      </c>
      <c r="N74" s="4"/>
      <c r="O74" s="9">
        <f t="shared" ref="O74" si="746">N74/$Z74</f>
        <v>0</v>
      </c>
      <c r="P74" s="5">
        <f>236</f>
        <v>236</v>
      </c>
      <c r="Q74" s="9">
        <f t="shared" ref="Q74" si="747">P74/$Z74</f>
        <v>1</v>
      </c>
      <c r="R74" s="4"/>
      <c r="S74" s="9">
        <f t="shared" ref="S74" si="748">R74/$Z74</f>
        <v>0</v>
      </c>
      <c r="T74" s="4"/>
      <c r="U74" s="9">
        <f t="shared" ref="U74" si="749">T74/$Z74</f>
        <v>0</v>
      </c>
      <c r="V74" s="4"/>
      <c r="W74" s="9">
        <f t="shared" ref="W74" si="750">V74/$Z74</f>
        <v>0</v>
      </c>
      <c r="X74" s="4"/>
      <c r="Y74" s="9">
        <f t="shared" ref="Y74" si="751">X74/$Z74</f>
        <v>0</v>
      </c>
      <c r="Z74" s="5">
        <f t="shared" ref="Z74:Z107" si="752">(((((((((((B74)+(D74))+(F74))+(H74))+(J74))+(L74))+(N74))+(P74))+(R74))+(T74))+(V74))+(X74)</f>
        <v>236</v>
      </c>
      <c r="AA74" s="10">
        <f t="shared" si="740"/>
        <v>1</v>
      </c>
    </row>
    <row r="75" spans="1:27">
      <c r="A75" s="3" t="s">
        <v>81</v>
      </c>
      <c r="B75" s="5">
        <f>1500</f>
        <v>1500</v>
      </c>
      <c r="C75" s="9">
        <f t="shared" si="717"/>
        <v>0.10638297872340426</v>
      </c>
      <c r="D75" s="5">
        <f>1000</f>
        <v>1000</v>
      </c>
      <c r="E75" s="9">
        <f t="shared" ref="E75" si="753">D75/$Z75</f>
        <v>7.0921985815602842E-2</v>
      </c>
      <c r="F75" s="5">
        <f>1000</f>
        <v>1000</v>
      </c>
      <c r="G75" s="9">
        <f t="shared" ref="G75" si="754">F75/$Z75</f>
        <v>7.0921985815602842E-2</v>
      </c>
      <c r="H75" s="5">
        <f>1500</f>
        <v>1500</v>
      </c>
      <c r="I75" s="9">
        <f t="shared" ref="I75" si="755">H75/$Z75</f>
        <v>0.10638297872340426</v>
      </c>
      <c r="J75" s="5">
        <f>1000</f>
        <v>1000</v>
      </c>
      <c r="K75" s="9">
        <f t="shared" ref="K75" si="756">J75/$Z75</f>
        <v>7.0921985815602842E-2</v>
      </c>
      <c r="L75" s="5">
        <f>1000</f>
        <v>1000</v>
      </c>
      <c r="M75" s="9">
        <f t="shared" ref="M75" si="757">L75/$Z75</f>
        <v>7.0921985815602842E-2</v>
      </c>
      <c r="N75" s="5">
        <f>1100</f>
        <v>1100</v>
      </c>
      <c r="O75" s="9">
        <f t="shared" ref="O75" si="758">N75/$Z75</f>
        <v>7.8014184397163122E-2</v>
      </c>
      <c r="P75" s="5">
        <f>1150</f>
        <v>1150</v>
      </c>
      <c r="Q75" s="9">
        <f t="shared" ref="Q75" si="759">P75/$Z75</f>
        <v>8.1560283687943269E-2</v>
      </c>
      <c r="R75" s="5">
        <f>1250</f>
        <v>1250</v>
      </c>
      <c r="S75" s="9">
        <f t="shared" ref="S75" si="760">R75/$Z75</f>
        <v>8.8652482269503549E-2</v>
      </c>
      <c r="T75" s="5">
        <f>1250</f>
        <v>1250</v>
      </c>
      <c r="U75" s="9">
        <f t="shared" ref="U75" si="761">T75/$Z75</f>
        <v>8.8652482269503549E-2</v>
      </c>
      <c r="V75" s="5">
        <f>1100</f>
        <v>1100</v>
      </c>
      <c r="W75" s="9">
        <f t="shared" ref="W75" si="762">V75/$Z75</f>
        <v>7.8014184397163122E-2</v>
      </c>
      <c r="X75" s="5">
        <f>1250</f>
        <v>1250</v>
      </c>
      <c r="Y75" s="9">
        <f t="shared" ref="Y75" si="763">X75/$Z75</f>
        <v>8.8652482269503549E-2</v>
      </c>
      <c r="Z75" s="5">
        <f t="shared" si="752"/>
        <v>14100</v>
      </c>
      <c r="AA75" s="10">
        <f t="shared" si="740"/>
        <v>0.99999999999999989</v>
      </c>
    </row>
    <row r="76" spans="1:27">
      <c r="A76" s="3" t="s">
        <v>82</v>
      </c>
      <c r="B76" s="4"/>
      <c r="C76" s="9">
        <f t="shared" si="717"/>
        <v>0</v>
      </c>
      <c r="D76" s="5">
        <f>50</f>
        <v>50</v>
      </c>
      <c r="E76" s="9">
        <f t="shared" ref="E76" si="764">D76/$Z76</f>
        <v>0.1111111111111111</v>
      </c>
      <c r="F76" s="4"/>
      <c r="G76" s="9">
        <f t="shared" ref="G76" si="765">F76/$Z76</f>
        <v>0</v>
      </c>
      <c r="H76" s="4"/>
      <c r="I76" s="9">
        <f t="shared" ref="I76" si="766">H76/$Z76</f>
        <v>0</v>
      </c>
      <c r="J76" s="4"/>
      <c r="K76" s="9">
        <f t="shared" ref="K76" si="767">J76/$Z76</f>
        <v>0</v>
      </c>
      <c r="L76" s="4"/>
      <c r="M76" s="9">
        <f t="shared" ref="M76" si="768">L76/$Z76</f>
        <v>0</v>
      </c>
      <c r="N76" s="4"/>
      <c r="O76" s="9">
        <f t="shared" ref="O76" si="769">N76/$Z76</f>
        <v>0</v>
      </c>
      <c r="P76" s="5">
        <f>400</f>
        <v>400</v>
      </c>
      <c r="Q76" s="9">
        <f t="shared" ref="Q76" si="770">P76/$Z76</f>
        <v>0.88888888888888884</v>
      </c>
      <c r="R76" s="4"/>
      <c r="S76" s="9">
        <f t="shared" ref="S76" si="771">R76/$Z76</f>
        <v>0</v>
      </c>
      <c r="T76" s="4"/>
      <c r="U76" s="9">
        <f t="shared" ref="U76" si="772">T76/$Z76</f>
        <v>0</v>
      </c>
      <c r="V76" s="4"/>
      <c r="W76" s="9">
        <f t="shared" ref="W76" si="773">V76/$Z76</f>
        <v>0</v>
      </c>
      <c r="X76" s="4"/>
      <c r="Y76" s="9">
        <f t="shared" ref="Y76" si="774">X76/$Z76</f>
        <v>0</v>
      </c>
      <c r="Z76" s="5">
        <f t="shared" si="752"/>
        <v>450</v>
      </c>
      <c r="AA76" s="10">
        <f t="shared" si="740"/>
        <v>1</v>
      </c>
    </row>
    <row r="77" spans="1:27">
      <c r="A77" s="3" t="s">
        <v>83</v>
      </c>
      <c r="B77" s="5">
        <f>237.46</f>
        <v>237.46</v>
      </c>
      <c r="C77" s="9">
        <f t="shared" si="717"/>
        <v>7.203856456804468E-2</v>
      </c>
      <c r="D77" s="5">
        <f>143.99</f>
        <v>143.99</v>
      </c>
      <c r="E77" s="9">
        <f t="shared" ref="E77" si="775">D77/$Z77</f>
        <v>4.3682442988936046E-2</v>
      </c>
      <c r="F77" s="5">
        <f>458.96</f>
        <v>458.96</v>
      </c>
      <c r="G77" s="9">
        <f t="shared" ref="G77" si="776">F77/$Z77</f>
        <v>0.13923532213488496</v>
      </c>
      <c r="H77" s="5">
        <f>274.65</f>
        <v>274.64999999999998</v>
      </c>
      <c r="I77" s="9">
        <f t="shared" ref="I77" si="777">H77/$Z77</f>
        <v>8.3320945669222046E-2</v>
      </c>
      <c r="J77" s="5">
        <f>305.53</f>
        <v>305.52999999999997</v>
      </c>
      <c r="K77" s="9">
        <f t="shared" ref="K77" si="778">J77/$Z77</f>
        <v>9.2689053451000952E-2</v>
      </c>
      <c r="L77" s="5">
        <f>255.53</f>
        <v>255.53</v>
      </c>
      <c r="M77" s="9">
        <f t="shared" ref="M77" si="779">L77/$Z77</f>
        <v>7.7520485151488489E-2</v>
      </c>
      <c r="N77" s="5">
        <f>455.47</f>
        <v>455.47</v>
      </c>
      <c r="O77" s="9">
        <f t="shared" ref="O77" si="780">N77/$Z77</f>
        <v>0.138176556067579</v>
      </c>
      <c r="P77" s="5">
        <f>121.38</f>
        <v>121.38</v>
      </c>
      <c r="Q77" s="9">
        <f t="shared" ref="Q77" si="781">P77/$Z77</f>
        <v>3.6823216403896498E-2</v>
      </c>
      <c r="R77" s="5">
        <f>179.15</f>
        <v>179.15</v>
      </c>
      <c r="S77" s="9">
        <f t="shared" ref="S77" si="782">R77/$Z77</f>
        <v>5.4348980217153217E-2</v>
      </c>
      <c r="T77" s="5">
        <f>458.87</f>
        <v>458.87</v>
      </c>
      <c r="U77" s="9">
        <f t="shared" ref="U77" si="783">T77/$Z77</f>
        <v>0.13920801871194582</v>
      </c>
      <c r="V77" s="5">
        <f>240.55</f>
        <v>240.55</v>
      </c>
      <c r="W77" s="9">
        <f t="shared" ref="W77" si="784">V77/$Z77</f>
        <v>7.2975982088954547E-2</v>
      </c>
      <c r="X77" s="5">
        <f>164.75</f>
        <v>164.75</v>
      </c>
      <c r="Y77" s="9">
        <f t="shared" ref="Y77" si="785">X77/$Z77</f>
        <v>4.9980432546893626E-2</v>
      </c>
      <c r="Z77" s="5">
        <f t="shared" si="752"/>
        <v>3296.2900000000004</v>
      </c>
      <c r="AA77" s="10">
        <f t="shared" si="740"/>
        <v>0.99999999999999978</v>
      </c>
    </row>
    <row r="78" spans="1:27">
      <c r="A78" s="3" t="s">
        <v>84</v>
      </c>
      <c r="B78" s="5">
        <f>242</f>
        <v>242</v>
      </c>
      <c r="C78" s="9">
        <f t="shared" si="717"/>
        <v>6.8751953180488101E-2</v>
      </c>
      <c r="D78" s="5">
        <f>225</f>
        <v>225</v>
      </c>
      <c r="E78" s="9">
        <f t="shared" ref="E78" si="786">D78/$Z78</f>
        <v>6.3922270519048863E-2</v>
      </c>
      <c r="F78" s="5">
        <f>425.99</f>
        <v>425.99</v>
      </c>
      <c r="G78" s="9">
        <f t="shared" ref="G78" si="787">F78/$Z78</f>
        <v>0.12102332452626499</v>
      </c>
      <c r="H78" s="5">
        <f>719.99</f>
        <v>719.99</v>
      </c>
      <c r="I78" s="9">
        <f t="shared" ref="I78" si="788">H78/$Z78</f>
        <v>0.2045484246711555</v>
      </c>
      <c r="J78" s="5">
        <f>615.99</f>
        <v>615.99</v>
      </c>
      <c r="K78" s="9">
        <f t="shared" ref="K78" si="789">J78/$Z78</f>
        <v>0.17500213074235071</v>
      </c>
      <c r="L78" s="5">
        <f>269.99</f>
        <v>269.99</v>
      </c>
      <c r="M78" s="9">
        <f t="shared" ref="M78" si="790">L78/$Z78</f>
        <v>7.6703883633057787E-2</v>
      </c>
      <c r="N78" s="5">
        <f>165.99</f>
        <v>165.99</v>
      </c>
      <c r="O78" s="9">
        <f t="shared" ref="O78" si="791">N78/$Z78</f>
        <v>4.7157589704252982E-2</v>
      </c>
      <c r="P78" s="5">
        <f>165.99</f>
        <v>165.99</v>
      </c>
      <c r="Q78" s="9">
        <f t="shared" ref="Q78" si="792">P78/$Z78</f>
        <v>4.7157589704252982E-2</v>
      </c>
      <c r="R78" s="5">
        <f>165.99</f>
        <v>165.99</v>
      </c>
      <c r="S78" s="9">
        <f t="shared" ref="S78" si="793">R78/$Z78</f>
        <v>4.7157589704252982E-2</v>
      </c>
      <c r="T78" s="5">
        <f>165.99</f>
        <v>165.99</v>
      </c>
      <c r="U78" s="9">
        <f t="shared" ref="U78" si="794">T78/$Z78</f>
        <v>4.7157589704252982E-2</v>
      </c>
      <c r="V78" s="5">
        <f>165.99</f>
        <v>165.99</v>
      </c>
      <c r="W78" s="9">
        <f t="shared" ref="W78" si="795">V78/$Z78</f>
        <v>4.7157589704252982E-2</v>
      </c>
      <c r="X78" s="5">
        <f>190.99</f>
        <v>190.99</v>
      </c>
      <c r="Y78" s="9">
        <f t="shared" ref="Y78" si="796">X78/$Z78</f>
        <v>5.4260064206369522E-2</v>
      </c>
      <c r="Z78" s="5">
        <f t="shared" si="752"/>
        <v>3519.8999999999987</v>
      </c>
      <c r="AA78" s="10">
        <f t="shared" si="740"/>
        <v>1.0000000000000004</v>
      </c>
    </row>
    <row r="79" spans="1:27">
      <c r="A79" s="3" t="s">
        <v>85</v>
      </c>
      <c r="B79" s="4"/>
      <c r="C79" s="9" t="e">
        <f t="shared" si="717"/>
        <v>#DIV/0!</v>
      </c>
      <c r="D79" s="4"/>
      <c r="E79" s="9" t="e">
        <f t="shared" ref="E79" si="797">D79/$Z79</f>
        <v>#DIV/0!</v>
      </c>
      <c r="F79" s="4"/>
      <c r="G79" s="9" t="e">
        <f t="shared" ref="G79" si="798">F79/$Z79</f>
        <v>#DIV/0!</v>
      </c>
      <c r="H79" s="4"/>
      <c r="I79" s="9" t="e">
        <f t="shared" ref="I79" si="799">H79/$Z79</f>
        <v>#DIV/0!</v>
      </c>
      <c r="J79" s="4"/>
      <c r="K79" s="9" t="e">
        <f t="shared" ref="K79" si="800">J79/$Z79</f>
        <v>#DIV/0!</v>
      </c>
      <c r="L79" s="4"/>
      <c r="M79" s="9" t="e">
        <f t="shared" ref="M79" si="801">L79/$Z79</f>
        <v>#DIV/0!</v>
      </c>
      <c r="N79" s="4"/>
      <c r="O79" s="9" t="e">
        <f t="shared" ref="O79" si="802">N79/$Z79</f>
        <v>#DIV/0!</v>
      </c>
      <c r="P79" s="4"/>
      <c r="Q79" s="9" t="e">
        <f t="shared" ref="Q79" si="803">P79/$Z79</f>
        <v>#DIV/0!</v>
      </c>
      <c r="R79" s="4"/>
      <c r="S79" s="9" t="e">
        <f t="shared" ref="S79" si="804">R79/$Z79</f>
        <v>#DIV/0!</v>
      </c>
      <c r="T79" s="4"/>
      <c r="U79" s="9" t="e">
        <f t="shared" ref="U79" si="805">T79/$Z79</f>
        <v>#DIV/0!</v>
      </c>
      <c r="V79" s="4"/>
      <c r="W79" s="9" t="e">
        <f t="shared" ref="W79" si="806">V79/$Z79</f>
        <v>#DIV/0!</v>
      </c>
      <c r="X79" s="4"/>
      <c r="Y79" s="9" t="e">
        <f t="shared" ref="Y79" si="807">X79/$Z79</f>
        <v>#DIV/0!</v>
      </c>
      <c r="Z79" s="5">
        <f t="shared" si="752"/>
        <v>0</v>
      </c>
      <c r="AA79" s="10" t="e">
        <f t="shared" si="740"/>
        <v>#DIV/0!</v>
      </c>
    </row>
    <row r="80" spans="1:27">
      <c r="A80" s="3" t="s">
        <v>86</v>
      </c>
      <c r="B80" s="4"/>
      <c r="C80" s="9">
        <f t="shared" si="717"/>
        <v>0</v>
      </c>
      <c r="D80" s="4"/>
      <c r="E80" s="9">
        <f t="shared" ref="E80" si="808">D80/$Z80</f>
        <v>0</v>
      </c>
      <c r="F80" s="4"/>
      <c r="G80" s="9">
        <f t="shared" ref="G80" si="809">F80/$Z80</f>
        <v>0</v>
      </c>
      <c r="H80" s="5">
        <f>398.4</f>
        <v>398.4</v>
      </c>
      <c r="I80" s="9">
        <f t="shared" ref="I80" si="810">H80/$Z80</f>
        <v>0.19592607528203712</v>
      </c>
      <c r="J80" s="5">
        <f>128.41</f>
        <v>128.41</v>
      </c>
      <c r="K80" s="9">
        <f t="shared" ref="K80" si="811">J80/$Z80</f>
        <v>6.3149767386963818E-2</v>
      </c>
      <c r="L80" s="5">
        <f>128.43</f>
        <v>128.43</v>
      </c>
      <c r="M80" s="9">
        <f t="shared" ref="M80" si="812">L80/$Z80</f>
        <v>6.3159603033313333E-2</v>
      </c>
      <c r="N80" s="5">
        <f>128.43</f>
        <v>128.43</v>
      </c>
      <c r="O80" s="9">
        <f t="shared" ref="O80" si="813">N80/$Z80</f>
        <v>6.3159603033313333E-2</v>
      </c>
      <c r="P80" s="5">
        <f>128.43</f>
        <v>128.43</v>
      </c>
      <c r="Q80" s="9">
        <f t="shared" ref="Q80" si="814">P80/$Z80</f>
        <v>6.3159603033313333E-2</v>
      </c>
      <c r="R80" s="5">
        <f>432.23</f>
        <v>432.23</v>
      </c>
      <c r="S80" s="9">
        <f t="shared" ref="S80" si="815">R80/$Z80</f>
        <v>0.21256307108221614</v>
      </c>
      <c r="T80" s="5">
        <f>128.43</f>
        <v>128.43</v>
      </c>
      <c r="U80" s="9">
        <f t="shared" ref="U80" si="816">T80/$Z80</f>
        <v>6.3159603033313333E-2</v>
      </c>
      <c r="V80" s="5">
        <f>128.43</f>
        <v>128.43</v>
      </c>
      <c r="W80" s="9">
        <f t="shared" ref="W80" si="817">V80/$Z80</f>
        <v>6.3159603033313333E-2</v>
      </c>
      <c r="X80" s="5">
        <f>432.23</f>
        <v>432.23</v>
      </c>
      <c r="Y80" s="9">
        <f t="shared" ref="Y80" si="818">X80/$Z80</f>
        <v>0.21256307108221614</v>
      </c>
      <c r="Z80" s="5">
        <f t="shared" si="752"/>
        <v>2033.4200000000003</v>
      </c>
      <c r="AA80" s="10">
        <f t="shared" si="740"/>
        <v>1</v>
      </c>
    </row>
    <row r="81" spans="1:27">
      <c r="A81" s="3" t="s">
        <v>87</v>
      </c>
      <c r="B81" s="6">
        <f t="shared" ref="B81:X81" si="819">(B79)+(B80)</f>
        <v>0</v>
      </c>
      <c r="C81" s="9">
        <f t="shared" si="717"/>
        <v>0</v>
      </c>
      <c r="D81" s="6">
        <f t="shared" si="819"/>
        <v>0</v>
      </c>
      <c r="E81" s="9">
        <f t="shared" ref="E81" si="820">D81/$Z81</f>
        <v>0</v>
      </c>
      <c r="F81" s="6">
        <f t="shared" si="819"/>
        <v>0</v>
      </c>
      <c r="G81" s="9">
        <f t="shared" ref="G81" si="821">F81/$Z81</f>
        <v>0</v>
      </c>
      <c r="H81" s="6">
        <f t="shared" si="819"/>
        <v>398.4</v>
      </c>
      <c r="I81" s="9">
        <f t="shared" ref="I81" si="822">H81/$Z81</f>
        <v>0.19592607528203712</v>
      </c>
      <c r="J81" s="6">
        <f t="shared" si="819"/>
        <v>128.41</v>
      </c>
      <c r="K81" s="9">
        <f t="shared" ref="K81" si="823">J81/$Z81</f>
        <v>6.3149767386963818E-2</v>
      </c>
      <c r="L81" s="6">
        <f t="shared" si="819"/>
        <v>128.43</v>
      </c>
      <c r="M81" s="9">
        <f t="shared" ref="M81" si="824">L81/$Z81</f>
        <v>6.3159603033313333E-2</v>
      </c>
      <c r="N81" s="6">
        <f t="shared" si="819"/>
        <v>128.43</v>
      </c>
      <c r="O81" s="9">
        <f t="shared" ref="O81" si="825">N81/$Z81</f>
        <v>6.3159603033313333E-2</v>
      </c>
      <c r="P81" s="6">
        <f t="shared" si="819"/>
        <v>128.43</v>
      </c>
      <c r="Q81" s="9">
        <f t="shared" ref="Q81" si="826">P81/$Z81</f>
        <v>6.3159603033313333E-2</v>
      </c>
      <c r="R81" s="6">
        <f t="shared" si="819"/>
        <v>432.23</v>
      </c>
      <c r="S81" s="9">
        <f t="shared" ref="S81" si="827">R81/$Z81</f>
        <v>0.21256307108221614</v>
      </c>
      <c r="T81" s="6">
        <f t="shared" si="819"/>
        <v>128.43</v>
      </c>
      <c r="U81" s="9">
        <f t="shared" ref="U81" si="828">T81/$Z81</f>
        <v>6.3159603033313333E-2</v>
      </c>
      <c r="V81" s="6">
        <f t="shared" si="819"/>
        <v>128.43</v>
      </c>
      <c r="W81" s="9">
        <f t="shared" ref="W81" si="829">V81/$Z81</f>
        <v>6.3159603033313333E-2</v>
      </c>
      <c r="X81" s="6">
        <f t="shared" si="819"/>
        <v>432.23</v>
      </c>
      <c r="Y81" s="9">
        <f t="shared" ref="Y81" si="830">X81/$Z81</f>
        <v>0.21256307108221614</v>
      </c>
      <c r="Z81" s="6">
        <f t="shared" si="752"/>
        <v>2033.4200000000003</v>
      </c>
      <c r="AA81" s="10">
        <f t="shared" si="740"/>
        <v>1</v>
      </c>
    </row>
    <row r="82" spans="1:27">
      <c r="A82" s="3" t="s">
        <v>88</v>
      </c>
      <c r="B82" s="5">
        <f>93.39</f>
        <v>93.39</v>
      </c>
      <c r="C82" s="9">
        <f t="shared" si="717"/>
        <v>0.18522411741372474</v>
      </c>
      <c r="D82" s="4"/>
      <c r="E82" s="9">
        <f t="shared" ref="E82" si="831">D82/$Z82</f>
        <v>0</v>
      </c>
      <c r="F82" s="4"/>
      <c r="G82" s="9">
        <f t="shared" ref="G82" si="832">F82/$Z82</f>
        <v>0</v>
      </c>
      <c r="H82" s="4"/>
      <c r="I82" s="9">
        <f t="shared" ref="I82" si="833">H82/$Z82</f>
        <v>0</v>
      </c>
      <c r="J82" s="5">
        <f>248.64</f>
        <v>248.64</v>
      </c>
      <c r="K82" s="9">
        <f t="shared" ref="K82" si="834">J82/$Z82</f>
        <v>0.49313764379214603</v>
      </c>
      <c r="L82" s="5">
        <f>162.17</f>
        <v>162.16999999999999</v>
      </c>
      <c r="M82" s="9">
        <f t="shared" ref="M82" si="835">L82/$Z82</f>
        <v>0.32163823879412934</v>
      </c>
      <c r="N82" s="4"/>
      <c r="O82" s="9">
        <f t="shared" ref="O82" si="836">N82/$Z82</f>
        <v>0</v>
      </c>
      <c r="P82" s="4"/>
      <c r="Q82" s="9">
        <f t="shared" ref="Q82" si="837">P82/$Z82</f>
        <v>0</v>
      </c>
      <c r="R82" s="4"/>
      <c r="S82" s="9">
        <f t="shared" ref="S82" si="838">R82/$Z82</f>
        <v>0</v>
      </c>
      <c r="T82" s="4"/>
      <c r="U82" s="9">
        <f t="shared" ref="U82" si="839">T82/$Z82</f>
        <v>0</v>
      </c>
      <c r="V82" s="4"/>
      <c r="W82" s="9">
        <f t="shared" ref="W82" si="840">V82/$Z82</f>
        <v>0</v>
      </c>
      <c r="X82" s="4"/>
      <c r="Y82" s="9">
        <f t="shared" ref="Y82" si="841">X82/$Z82</f>
        <v>0</v>
      </c>
      <c r="Z82" s="5">
        <f t="shared" si="752"/>
        <v>504.19999999999993</v>
      </c>
      <c r="AA82" s="10">
        <f t="shared" si="740"/>
        <v>1</v>
      </c>
    </row>
    <row r="83" spans="1:27">
      <c r="A83" s="3" t="s">
        <v>89</v>
      </c>
      <c r="B83" s="4"/>
      <c r="C83" s="9">
        <f t="shared" si="717"/>
        <v>0</v>
      </c>
      <c r="D83" s="5">
        <f>207.73</f>
        <v>207.73</v>
      </c>
      <c r="E83" s="9">
        <f t="shared" ref="E83" si="842">D83/$Z83</f>
        <v>0.73356169220990175</v>
      </c>
      <c r="F83" s="5">
        <f>52.27</f>
        <v>52.27</v>
      </c>
      <c r="G83" s="9">
        <f t="shared" ref="G83" si="843">F83/$Z83</f>
        <v>0.18458224450879301</v>
      </c>
      <c r="H83" s="4"/>
      <c r="I83" s="9">
        <f t="shared" ref="I83" si="844">H83/$Z83</f>
        <v>0</v>
      </c>
      <c r="J83" s="4"/>
      <c r="K83" s="9">
        <f t="shared" ref="K83" si="845">J83/$Z83</f>
        <v>0</v>
      </c>
      <c r="L83" s="4"/>
      <c r="M83" s="9">
        <f t="shared" ref="M83" si="846">L83/$Z83</f>
        <v>0</v>
      </c>
      <c r="N83" s="5">
        <f>23.18</f>
        <v>23.18</v>
      </c>
      <c r="O83" s="9">
        <f t="shared" ref="O83" si="847">N83/$Z83</f>
        <v>8.185606328130518E-2</v>
      </c>
      <c r="P83" s="4"/>
      <c r="Q83" s="9">
        <f t="shared" ref="Q83" si="848">P83/$Z83</f>
        <v>0</v>
      </c>
      <c r="R83" s="4"/>
      <c r="S83" s="9">
        <f t="shared" ref="S83" si="849">R83/$Z83</f>
        <v>0</v>
      </c>
      <c r="T83" s="4"/>
      <c r="U83" s="9">
        <f t="shared" ref="U83" si="850">T83/$Z83</f>
        <v>0</v>
      </c>
      <c r="V83" s="4"/>
      <c r="W83" s="9">
        <f t="shared" ref="W83" si="851">V83/$Z83</f>
        <v>0</v>
      </c>
      <c r="X83" s="4"/>
      <c r="Y83" s="9">
        <f t="shared" ref="Y83" si="852">X83/$Z83</f>
        <v>0</v>
      </c>
      <c r="Z83" s="5">
        <f t="shared" si="752"/>
        <v>283.18</v>
      </c>
      <c r="AA83" s="10">
        <f t="shared" si="740"/>
        <v>1</v>
      </c>
    </row>
    <row r="84" spans="1:27">
      <c r="A84" s="3" t="s">
        <v>90</v>
      </c>
      <c r="B84" s="5">
        <f>501.11</f>
        <v>501.11</v>
      </c>
      <c r="C84" s="9">
        <f t="shared" si="717"/>
        <v>0.50403339368336342</v>
      </c>
      <c r="D84" s="5">
        <f>-436.96</f>
        <v>-436.96</v>
      </c>
      <c r="E84" s="9">
        <f t="shared" ref="E84" si="853">D84/$Z84</f>
        <v>-0.43950915308790978</v>
      </c>
      <c r="F84" s="5">
        <f>430.42</f>
        <v>430.42</v>
      </c>
      <c r="G84" s="9">
        <f t="shared" ref="G84" si="854">F84/$Z84</f>
        <v>0.4329309997988332</v>
      </c>
      <c r="H84" s="5">
        <f>375.04</f>
        <v>375.04</v>
      </c>
      <c r="I84" s="9">
        <f t="shared" ref="I84" si="855">H84/$Z84</f>
        <v>0.37722792194729426</v>
      </c>
      <c r="J84" s="5">
        <f>-38.99</f>
        <v>-38.99</v>
      </c>
      <c r="K84" s="9">
        <f t="shared" ref="K84" si="856">J84/$Z84</f>
        <v>-3.9217461275397297E-2</v>
      </c>
      <c r="L84" s="4"/>
      <c r="M84" s="9">
        <f t="shared" ref="M84" si="857">L84/$Z84</f>
        <v>0</v>
      </c>
      <c r="N84" s="5">
        <f>5.25</f>
        <v>5.25</v>
      </c>
      <c r="O84" s="9">
        <f t="shared" ref="O84" si="858">N84/$Z84</f>
        <v>5.2806276403138197E-3</v>
      </c>
      <c r="P84" s="5">
        <f>128.47</f>
        <v>128.47</v>
      </c>
      <c r="Q84" s="9">
        <f t="shared" ref="Q84" si="859">P84/$Z84</f>
        <v>0.12921947294306979</v>
      </c>
      <c r="R84" s="4"/>
      <c r="S84" s="9">
        <f t="shared" ref="S84" si="860">R84/$Z84</f>
        <v>0</v>
      </c>
      <c r="T84" s="4"/>
      <c r="U84" s="9">
        <f t="shared" ref="U84" si="861">T84/$Z84</f>
        <v>0</v>
      </c>
      <c r="V84" s="4"/>
      <c r="W84" s="9">
        <f t="shared" ref="W84" si="862">V84/$Z84</f>
        <v>0</v>
      </c>
      <c r="X84" s="5">
        <f>29.86</f>
        <v>29.86</v>
      </c>
      <c r="Y84" s="9">
        <f t="shared" ref="Y84" si="863">X84/$Z84</f>
        <v>3.0034198350432504E-2</v>
      </c>
      <c r="Z84" s="5">
        <f t="shared" si="752"/>
        <v>994.20000000000016</v>
      </c>
      <c r="AA84" s="10">
        <f t="shared" si="740"/>
        <v>1</v>
      </c>
    </row>
    <row r="85" spans="1:27">
      <c r="A85" s="3" t="s">
        <v>91</v>
      </c>
      <c r="B85" s="4"/>
      <c r="C85" s="9" t="e">
        <f t="shared" si="717"/>
        <v>#DIV/0!</v>
      </c>
      <c r="D85" s="4"/>
      <c r="E85" s="9" t="e">
        <f t="shared" ref="E85" si="864">D85/$Z85</f>
        <v>#DIV/0!</v>
      </c>
      <c r="F85" s="4"/>
      <c r="G85" s="9" t="e">
        <f t="shared" ref="G85" si="865">F85/$Z85</f>
        <v>#DIV/0!</v>
      </c>
      <c r="H85" s="4"/>
      <c r="I85" s="9" t="e">
        <f t="shared" ref="I85" si="866">H85/$Z85</f>
        <v>#DIV/0!</v>
      </c>
      <c r="J85" s="4"/>
      <c r="K85" s="9" t="e">
        <f t="shared" ref="K85" si="867">J85/$Z85</f>
        <v>#DIV/0!</v>
      </c>
      <c r="L85" s="4"/>
      <c r="M85" s="9" t="e">
        <f t="shared" ref="M85" si="868">L85/$Z85</f>
        <v>#DIV/0!</v>
      </c>
      <c r="N85" s="4"/>
      <c r="O85" s="9" t="e">
        <f t="shared" ref="O85" si="869">N85/$Z85</f>
        <v>#DIV/0!</v>
      </c>
      <c r="P85" s="4"/>
      <c r="Q85" s="9" t="e">
        <f t="shared" ref="Q85" si="870">P85/$Z85</f>
        <v>#DIV/0!</v>
      </c>
      <c r="R85" s="4"/>
      <c r="S85" s="9" t="e">
        <f t="shared" ref="S85" si="871">R85/$Z85</f>
        <v>#DIV/0!</v>
      </c>
      <c r="T85" s="4"/>
      <c r="U85" s="9" t="e">
        <f t="shared" ref="U85" si="872">T85/$Z85</f>
        <v>#DIV/0!</v>
      </c>
      <c r="V85" s="4"/>
      <c r="W85" s="9" t="e">
        <f t="shared" ref="W85" si="873">V85/$Z85</f>
        <v>#DIV/0!</v>
      </c>
      <c r="X85" s="4"/>
      <c r="Y85" s="9" t="e">
        <f t="shared" ref="Y85" si="874">X85/$Z85</f>
        <v>#DIV/0!</v>
      </c>
      <c r="Z85" s="5">
        <f t="shared" si="752"/>
        <v>0</v>
      </c>
      <c r="AA85" s="10" t="e">
        <f t="shared" si="740"/>
        <v>#DIV/0!</v>
      </c>
    </row>
    <row r="86" spans="1:27">
      <c r="A86" s="3" t="s">
        <v>92</v>
      </c>
      <c r="B86" s="4"/>
      <c r="C86" s="9">
        <f t="shared" si="717"/>
        <v>0</v>
      </c>
      <c r="D86" s="4"/>
      <c r="E86" s="9">
        <f t="shared" ref="E86" si="875">D86/$Z86</f>
        <v>0</v>
      </c>
      <c r="F86" s="4"/>
      <c r="G86" s="9">
        <f t="shared" ref="G86" si="876">F86/$Z86</f>
        <v>0</v>
      </c>
      <c r="H86" s="4"/>
      <c r="I86" s="9">
        <f t="shared" ref="I86" si="877">H86/$Z86</f>
        <v>0</v>
      </c>
      <c r="J86" s="4"/>
      <c r="K86" s="9">
        <f t="shared" ref="K86" si="878">J86/$Z86</f>
        <v>0</v>
      </c>
      <c r="L86" s="5">
        <f>54.64</f>
        <v>54.64</v>
      </c>
      <c r="M86" s="9">
        <f t="shared" ref="M86" si="879">L86/$Z86</f>
        <v>1</v>
      </c>
      <c r="N86" s="4"/>
      <c r="O86" s="9">
        <f t="shared" ref="O86" si="880">N86/$Z86</f>
        <v>0</v>
      </c>
      <c r="P86" s="4"/>
      <c r="Q86" s="9">
        <f t="shared" ref="Q86" si="881">P86/$Z86</f>
        <v>0</v>
      </c>
      <c r="R86" s="4"/>
      <c r="S86" s="9">
        <f t="shared" ref="S86" si="882">R86/$Z86</f>
        <v>0</v>
      </c>
      <c r="T86" s="4"/>
      <c r="U86" s="9">
        <f t="shared" ref="U86" si="883">T86/$Z86</f>
        <v>0</v>
      </c>
      <c r="V86" s="4"/>
      <c r="W86" s="9">
        <f t="shared" ref="W86" si="884">V86/$Z86</f>
        <v>0</v>
      </c>
      <c r="X86" s="4"/>
      <c r="Y86" s="9">
        <f t="shared" ref="Y86" si="885">X86/$Z86</f>
        <v>0</v>
      </c>
      <c r="Z86" s="5">
        <f t="shared" si="752"/>
        <v>54.64</v>
      </c>
      <c r="AA86" s="10">
        <f t="shared" si="740"/>
        <v>1</v>
      </c>
    </row>
    <row r="87" spans="1:27">
      <c r="A87" s="3" t="s">
        <v>93</v>
      </c>
      <c r="B87" s="6">
        <f t="shared" ref="B87:X87" si="886">(B85)+(B86)</f>
        <v>0</v>
      </c>
      <c r="C87" s="9">
        <f t="shared" si="717"/>
        <v>0</v>
      </c>
      <c r="D87" s="6">
        <f t="shared" si="886"/>
        <v>0</v>
      </c>
      <c r="E87" s="9">
        <f t="shared" ref="E87" si="887">D87/$Z87</f>
        <v>0</v>
      </c>
      <c r="F87" s="6">
        <f t="shared" si="886"/>
        <v>0</v>
      </c>
      <c r="G87" s="9">
        <f t="shared" ref="G87" si="888">F87/$Z87</f>
        <v>0</v>
      </c>
      <c r="H87" s="6">
        <f t="shared" si="886"/>
        <v>0</v>
      </c>
      <c r="I87" s="9">
        <f t="shared" ref="I87" si="889">H87/$Z87</f>
        <v>0</v>
      </c>
      <c r="J87" s="6">
        <f t="shared" si="886"/>
        <v>0</v>
      </c>
      <c r="K87" s="9">
        <f t="shared" ref="K87" si="890">J87/$Z87</f>
        <v>0</v>
      </c>
      <c r="L87" s="6">
        <f t="shared" si="886"/>
        <v>54.64</v>
      </c>
      <c r="M87" s="9">
        <f t="shared" ref="M87" si="891">L87/$Z87</f>
        <v>1</v>
      </c>
      <c r="N87" s="6">
        <f t="shared" si="886"/>
        <v>0</v>
      </c>
      <c r="O87" s="9">
        <f t="shared" ref="O87" si="892">N87/$Z87</f>
        <v>0</v>
      </c>
      <c r="P87" s="6">
        <f t="shared" si="886"/>
        <v>0</v>
      </c>
      <c r="Q87" s="9">
        <f t="shared" ref="Q87" si="893">P87/$Z87</f>
        <v>0</v>
      </c>
      <c r="R87" s="6">
        <f t="shared" si="886"/>
        <v>0</v>
      </c>
      <c r="S87" s="9">
        <f t="shared" ref="S87" si="894">R87/$Z87</f>
        <v>0</v>
      </c>
      <c r="T87" s="6">
        <f t="shared" si="886"/>
        <v>0</v>
      </c>
      <c r="U87" s="9">
        <f t="shared" ref="U87" si="895">T87/$Z87</f>
        <v>0</v>
      </c>
      <c r="V87" s="6">
        <f t="shared" si="886"/>
        <v>0</v>
      </c>
      <c r="W87" s="9">
        <f t="shared" ref="W87" si="896">V87/$Z87</f>
        <v>0</v>
      </c>
      <c r="X87" s="6">
        <f t="shared" si="886"/>
        <v>0</v>
      </c>
      <c r="Y87" s="9">
        <f t="shared" ref="Y87" si="897">X87/$Z87</f>
        <v>0</v>
      </c>
      <c r="Z87" s="6">
        <f t="shared" si="752"/>
        <v>54.64</v>
      </c>
      <c r="AA87" s="10">
        <f t="shared" si="740"/>
        <v>1</v>
      </c>
    </row>
    <row r="88" spans="1:27">
      <c r="A88" s="3" t="s">
        <v>94</v>
      </c>
      <c r="B88" s="5">
        <f>118.34</f>
        <v>118.34</v>
      </c>
      <c r="C88" s="9">
        <f t="shared" si="717"/>
        <v>0.13813470292984709</v>
      </c>
      <c r="D88" s="5">
        <f>32.29</f>
        <v>32.29</v>
      </c>
      <c r="E88" s="9">
        <f t="shared" ref="E88" si="898">D88/$Z88</f>
        <v>3.7691140422551651E-2</v>
      </c>
      <c r="F88" s="5">
        <f>103.9</f>
        <v>103.9</v>
      </c>
      <c r="G88" s="9">
        <f t="shared" ref="G88" si="899">F88/$Z88</f>
        <v>0.12127932765262052</v>
      </c>
      <c r="H88" s="5">
        <f>85.02</f>
        <v>85.02</v>
      </c>
      <c r="I88" s="9">
        <f t="shared" ref="I88" si="900">H88/$Z88</f>
        <v>9.9241274658573589E-2</v>
      </c>
      <c r="J88" s="4"/>
      <c r="K88" s="9">
        <f t="shared" ref="K88" si="901">J88/$Z88</f>
        <v>0</v>
      </c>
      <c r="L88" s="5">
        <f>58.91</f>
        <v>58.91</v>
      </c>
      <c r="M88" s="9">
        <f t="shared" ref="M88" si="902">L88/$Z88</f>
        <v>6.8763861328352979E-2</v>
      </c>
      <c r="N88" s="5">
        <f>79.6</f>
        <v>79.599999999999994</v>
      </c>
      <c r="O88" s="9">
        <f t="shared" ref="O88" si="903">N88/$Z88</f>
        <v>9.2914672580833413E-2</v>
      </c>
      <c r="P88" s="5">
        <f>203.69</f>
        <v>203.69</v>
      </c>
      <c r="Q88" s="9">
        <f t="shared" ref="Q88" si="904">P88/$Z88</f>
        <v>0.23776117660791407</v>
      </c>
      <c r="R88" s="5">
        <f>27.38</f>
        <v>27.38</v>
      </c>
      <c r="S88" s="9">
        <f t="shared" ref="S88" si="905">R88/$Z88</f>
        <v>3.1959845920392201E-2</v>
      </c>
      <c r="T88" s="4"/>
      <c r="U88" s="9">
        <f t="shared" ref="U88" si="906">T88/$Z88</f>
        <v>0</v>
      </c>
      <c r="V88" s="5">
        <f>23.99</f>
        <v>23.99</v>
      </c>
      <c r="W88" s="9">
        <f t="shared" ref="W88" si="907">V88/$Z88</f>
        <v>2.8002801447414495E-2</v>
      </c>
      <c r="X88" s="5">
        <f>123.58</f>
        <v>123.58</v>
      </c>
      <c r="Y88" s="9">
        <f t="shared" ref="Y88" si="908">X88/$Z88</f>
        <v>0.14425119645149992</v>
      </c>
      <c r="Z88" s="5">
        <f t="shared" si="752"/>
        <v>856.7</v>
      </c>
      <c r="AA88" s="10">
        <f t="shared" si="740"/>
        <v>1</v>
      </c>
    </row>
    <row r="89" spans="1:27">
      <c r="A89" s="3" t="s">
        <v>95</v>
      </c>
      <c r="B89" s="5">
        <f>111.5</f>
        <v>111.5</v>
      </c>
      <c r="C89" s="9">
        <f t="shared" si="717"/>
        <v>7.8492935635792779E-2</v>
      </c>
      <c r="D89" s="5">
        <f>116</f>
        <v>116</v>
      </c>
      <c r="E89" s="9">
        <f t="shared" ref="E89" si="909">D89/$Z89</f>
        <v>8.1660811961901003E-2</v>
      </c>
      <c r="F89" s="5">
        <f>145.01</f>
        <v>145.01</v>
      </c>
      <c r="G89" s="9">
        <f t="shared" ref="G89" si="910">F89/$Z89</f>
        <v>0.10208305467754539</v>
      </c>
      <c r="H89" s="5">
        <f>116</f>
        <v>116</v>
      </c>
      <c r="I89" s="9">
        <f t="shared" ref="I89" si="911">H89/$Z89</f>
        <v>8.1660811961901003E-2</v>
      </c>
      <c r="J89" s="5">
        <f>116</f>
        <v>116</v>
      </c>
      <c r="K89" s="9">
        <f t="shared" ref="K89" si="912">J89/$Z89</f>
        <v>8.1660811961901003E-2</v>
      </c>
      <c r="L89" s="5">
        <f>116</f>
        <v>116</v>
      </c>
      <c r="M89" s="9">
        <f t="shared" ref="M89" si="913">L89/$Z89</f>
        <v>8.1660811961901003E-2</v>
      </c>
      <c r="N89" s="5">
        <f>116</f>
        <v>116</v>
      </c>
      <c r="O89" s="9">
        <f t="shared" ref="O89" si="914">N89/$Z89</f>
        <v>8.1660811961901003E-2</v>
      </c>
      <c r="P89" s="5">
        <f>116</f>
        <v>116</v>
      </c>
      <c r="Q89" s="9">
        <f t="shared" ref="Q89" si="915">P89/$Z89</f>
        <v>8.1660811961901003E-2</v>
      </c>
      <c r="R89" s="5">
        <f>116</f>
        <v>116</v>
      </c>
      <c r="S89" s="9">
        <f t="shared" ref="S89" si="916">R89/$Z89</f>
        <v>8.1660811961901003E-2</v>
      </c>
      <c r="T89" s="5">
        <f>116</f>
        <v>116</v>
      </c>
      <c r="U89" s="9">
        <f t="shared" ref="U89" si="917">T89/$Z89</f>
        <v>8.1660811961901003E-2</v>
      </c>
      <c r="V89" s="5">
        <f>116</f>
        <v>116</v>
      </c>
      <c r="W89" s="9">
        <f t="shared" ref="W89" si="918">V89/$Z89</f>
        <v>8.1660811961901003E-2</v>
      </c>
      <c r="X89" s="5">
        <f>120</f>
        <v>120</v>
      </c>
      <c r="Y89" s="9">
        <f t="shared" ref="Y89" si="919">X89/$Z89</f>
        <v>8.4476702029552764E-2</v>
      </c>
      <c r="Z89" s="5">
        <f t="shared" si="752"/>
        <v>1420.51</v>
      </c>
      <c r="AA89" s="10">
        <f t="shared" si="740"/>
        <v>1</v>
      </c>
    </row>
    <row r="90" spans="1:27">
      <c r="A90" s="3" t="s">
        <v>96</v>
      </c>
      <c r="B90" s="5">
        <f>760.19</f>
        <v>760.19</v>
      </c>
      <c r="C90" s="9">
        <f t="shared" si="717"/>
        <v>8.4530644151552273E-2</v>
      </c>
      <c r="D90" s="5">
        <f>733.79</f>
        <v>733.79</v>
      </c>
      <c r="E90" s="9">
        <f t="shared" ref="E90" si="920">D90/$Z90</f>
        <v>8.1595050411038733E-2</v>
      </c>
      <c r="F90" s="5">
        <f>738.3</f>
        <v>738.3</v>
      </c>
      <c r="G90" s="9">
        <f t="shared" ref="G90" si="921">F90/$Z90</f>
        <v>8.2096547675043124E-2</v>
      </c>
      <c r="H90" s="5">
        <f>711.9</f>
        <v>711.9</v>
      </c>
      <c r="I90" s="9">
        <f t="shared" ref="I90" si="922">H90/$Z90</f>
        <v>7.9160953934529599E-2</v>
      </c>
      <c r="J90" s="5">
        <f>753.9</f>
        <v>753.9</v>
      </c>
      <c r="K90" s="9">
        <f t="shared" ref="K90" si="923">J90/$Z90</f>
        <v>8.3831216703528402E-2</v>
      </c>
      <c r="L90" s="5">
        <f>731.86</f>
        <v>731.86</v>
      </c>
      <c r="M90" s="9">
        <f t="shared" ref="M90" si="924">L90/$Z90</f>
        <v>8.1380440717129993E-2</v>
      </c>
      <c r="N90" s="5">
        <f>701.25</f>
        <v>701.25</v>
      </c>
      <c r="O90" s="9">
        <f t="shared" ref="O90" si="925">N90/$Z90</f>
        <v>7.7976708732390626E-2</v>
      </c>
      <c r="P90" s="5">
        <f>745.61</f>
        <v>745.61</v>
      </c>
      <c r="Q90" s="9">
        <f t="shared" ref="Q90" si="926">P90/$Z90</f>
        <v>8.2909395790314117E-2</v>
      </c>
      <c r="R90" s="5">
        <f>721.15</f>
        <v>721.15</v>
      </c>
      <c r="S90" s="9">
        <f t="shared" ref="S90" si="927">R90/$Z90</f>
        <v>8.0189523711035285E-2</v>
      </c>
      <c r="T90" s="5">
        <f>719.61</f>
        <v>719.61</v>
      </c>
      <c r="U90" s="9">
        <f t="shared" ref="U90" si="928">T90/$Z90</f>
        <v>8.0018280742838677E-2</v>
      </c>
      <c r="V90" s="5">
        <f>744.08</f>
        <v>744.08</v>
      </c>
      <c r="W90" s="9">
        <f t="shared" ref="W90" si="929">V90/$Z90</f>
        <v>8.2739264789443448E-2</v>
      </c>
      <c r="X90" s="5">
        <f>931.43</f>
        <v>931.43</v>
      </c>
      <c r="Y90" s="9">
        <f t="shared" ref="Y90" si="930">X90/$Z90</f>
        <v>0.10357197264115593</v>
      </c>
      <c r="Z90" s="5">
        <f t="shared" si="752"/>
        <v>8993.0699999999979</v>
      </c>
      <c r="AA90" s="10">
        <f t="shared" si="740"/>
        <v>1.0000000000000002</v>
      </c>
    </row>
    <row r="91" spans="1:27">
      <c r="A91" s="3" t="s">
        <v>97</v>
      </c>
      <c r="B91" s="4"/>
      <c r="C91" s="9">
        <f t="shared" si="717"/>
        <v>0</v>
      </c>
      <c r="D91" s="4"/>
      <c r="E91" s="9">
        <f t="shared" ref="E91" si="931">D91/$Z91</f>
        <v>0</v>
      </c>
      <c r="F91" s="4"/>
      <c r="G91" s="9">
        <f t="shared" ref="G91" si="932">F91/$Z91</f>
        <v>0</v>
      </c>
      <c r="H91" s="4"/>
      <c r="I91" s="9">
        <f t="shared" ref="I91" si="933">H91/$Z91</f>
        <v>0</v>
      </c>
      <c r="J91" s="4"/>
      <c r="K91" s="9">
        <f t="shared" ref="K91" si="934">J91/$Z91</f>
        <v>0</v>
      </c>
      <c r="L91" s="5">
        <f>251.99</f>
        <v>251.99</v>
      </c>
      <c r="M91" s="9">
        <f t="shared" ref="M91" si="935">L91/$Z91</f>
        <v>0.23014887204310894</v>
      </c>
      <c r="N91" s="5">
        <f>239.5</f>
        <v>239.5</v>
      </c>
      <c r="O91" s="9">
        <f t="shared" ref="O91" si="936">N91/$Z91</f>
        <v>0.21874143757420766</v>
      </c>
      <c r="P91" s="5">
        <f>239.5</f>
        <v>239.5</v>
      </c>
      <c r="Q91" s="9">
        <f t="shared" ref="Q91" si="937">P91/$Z91</f>
        <v>0.21874143757420766</v>
      </c>
      <c r="R91" s="5">
        <f>285.9</f>
        <v>285.89999999999998</v>
      </c>
      <c r="S91" s="9">
        <f t="shared" ref="S91" si="938">R91/$Z91</f>
        <v>0.26111973696227964</v>
      </c>
      <c r="T91" s="5">
        <f>59.35</f>
        <v>59.35</v>
      </c>
      <c r="U91" s="9">
        <f t="shared" ref="U91" si="939">T91/$Z91</f>
        <v>5.4205863549182567E-2</v>
      </c>
      <c r="V91" s="4"/>
      <c r="W91" s="9">
        <f t="shared" ref="W91" si="940">V91/$Z91</f>
        <v>0</v>
      </c>
      <c r="X91" s="5">
        <f>18.66</f>
        <v>18.66</v>
      </c>
      <c r="Y91" s="9">
        <f t="shared" ref="Y91" si="941">X91/$Z91</f>
        <v>1.7042652297013426E-2</v>
      </c>
      <c r="Z91" s="5">
        <f t="shared" si="752"/>
        <v>1094.9000000000001</v>
      </c>
      <c r="AA91" s="10">
        <f t="shared" si="740"/>
        <v>0.99999999999999989</v>
      </c>
    </row>
    <row r="92" spans="1:27">
      <c r="A92" s="3" t="s">
        <v>98</v>
      </c>
      <c r="B92" s="5">
        <f t="shared" ref="B92:X92" si="942">776.46</f>
        <v>776.46</v>
      </c>
      <c r="C92" s="9">
        <f t="shared" si="717"/>
        <v>8.3333333333333329E-2</v>
      </c>
      <c r="D92" s="5">
        <f t="shared" si="942"/>
        <v>776.46</v>
      </c>
      <c r="E92" s="9">
        <f t="shared" ref="E92" si="943">D92/$Z92</f>
        <v>8.3333333333333329E-2</v>
      </c>
      <c r="F92" s="5">
        <f t="shared" si="942"/>
        <v>776.46</v>
      </c>
      <c r="G92" s="9">
        <f t="shared" ref="G92" si="944">F92/$Z92</f>
        <v>8.3333333333333329E-2</v>
      </c>
      <c r="H92" s="5">
        <f t="shared" si="942"/>
        <v>776.46</v>
      </c>
      <c r="I92" s="9">
        <f t="shared" ref="I92" si="945">H92/$Z92</f>
        <v>8.3333333333333329E-2</v>
      </c>
      <c r="J92" s="5">
        <f t="shared" si="942"/>
        <v>776.46</v>
      </c>
      <c r="K92" s="9">
        <f t="shared" ref="K92" si="946">J92/$Z92</f>
        <v>8.3333333333333329E-2</v>
      </c>
      <c r="L92" s="5">
        <f t="shared" si="942"/>
        <v>776.46</v>
      </c>
      <c r="M92" s="9">
        <f t="shared" ref="M92" si="947">L92/$Z92</f>
        <v>8.3333333333333329E-2</v>
      </c>
      <c r="N92" s="5">
        <f t="shared" si="942"/>
        <v>776.46</v>
      </c>
      <c r="O92" s="9">
        <f t="shared" ref="O92" si="948">N92/$Z92</f>
        <v>8.3333333333333329E-2</v>
      </c>
      <c r="P92" s="5">
        <f t="shared" si="942"/>
        <v>776.46</v>
      </c>
      <c r="Q92" s="9">
        <f t="shared" ref="Q92" si="949">P92/$Z92</f>
        <v>8.3333333333333329E-2</v>
      </c>
      <c r="R92" s="5">
        <f t="shared" si="942"/>
        <v>776.46</v>
      </c>
      <c r="S92" s="9">
        <f t="shared" ref="S92" si="950">R92/$Z92</f>
        <v>8.3333333333333329E-2</v>
      </c>
      <c r="T92" s="5">
        <f t="shared" si="942"/>
        <v>776.46</v>
      </c>
      <c r="U92" s="9">
        <f t="shared" ref="U92" si="951">T92/$Z92</f>
        <v>8.3333333333333329E-2</v>
      </c>
      <c r="V92" s="5">
        <f t="shared" si="942"/>
        <v>776.46</v>
      </c>
      <c r="W92" s="9">
        <f t="shared" ref="W92" si="952">V92/$Z92</f>
        <v>8.3333333333333329E-2</v>
      </c>
      <c r="X92" s="5">
        <f t="shared" si="942"/>
        <v>776.46</v>
      </c>
      <c r="Y92" s="9">
        <f t="shared" ref="Y92" si="953">X92/$Z92</f>
        <v>8.3333333333333329E-2</v>
      </c>
      <c r="Z92" s="5">
        <f t="shared" si="752"/>
        <v>9317.52</v>
      </c>
      <c r="AA92" s="10">
        <f t="shared" si="740"/>
        <v>1</v>
      </c>
    </row>
    <row r="93" spans="1:27">
      <c r="A93" s="3" t="s">
        <v>99</v>
      </c>
      <c r="B93" s="4"/>
      <c r="C93" s="9">
        <f t="shared" si="717"/>
        <v>0</v>
      </c>
      <c r="D93" s="4"/>
      <c r="E93" s="9">
        <f t="shared" ref="E93" si="954">D93/$Z93</f>
        <v>0</v>
      </c>
      <c r="F93" s="4"/>
      <c r="G93" s="9">
        <f t="shared" ref="G93" si="955">F93/$Z93</f>
        <v>0</v>
      </c>
      <c r="H93" s="5">
        <f>230</f>
        <v>230</v>
      </c>
      <c r="I93" s="9">
        <f t="shared" ref="I93" si="956">H93/$Z93</f>
        <v>0.1111111111111111</v>
      </c>
      <c r="J93" s="5">
        <f>230</f>
        <v>230</v>
      </c>
      <c r="K93" s="9">
        <f t="shared" ref="K93" si="957">J93/$Z93</f>
        <v>0.1111111111111111</v>
      </c>
      <c r="L93" s="5">
        <f>230</f>
        <v>230</v>
      </c>
      <c r="M93" s="9">
        <f t="shared" ref="M93" si="958">L93/$Z93</f>
        <v>0.1111111111111111</v>
      </c>
      <c r="N93" s="5">
        <f>230</f>
        <v>230</v>
      </c>
      <c r="O93" s="9">
        <f t="shared" ref="O93" si="959">N93/$Z93</f>
        <v>0.1111111111111111</v>
      </c>
      <c r="P93" s="5">
        <f>230</f>
        <v>230</v>
      </c>
      <c r="Q93" s="9">
        <f t="shared" ref="Q93" si="960">P93/$Z93</f>
        <v>0.1111111111111111</v>
      </c>
      <c r="R93" s="5">
        <f>230</f>
        <v>230</v>
      </c>
      <c r="S93" s="9">
        <f t="shared" ref="S93" si="961">R93/$Z93</f>
        <v>0.1111111111111111</v>
      </c>
      <c r="T93" s="5">
        <f>230</f>
        <v>230</v>
      </c>
      <c r="U93" s="9">
        <f t="shared" ref="U93" si="962">T93/$Z93</f>
        <v>0.1111111111111111</v>
      </c>
      <c r="V93" s="5">
        <f>230</f>
        <v>230</v>
      </c>
      <c r="W93" s="9">
        <f t="shared" ref="W93" si="963">V93/$Z93</f>
        <v>0.1111111111111111</v>
      </c>
      <c r="X93" s="5">
        <f>230</f>
        <v>230</v>
      </c>
      <c r="Y93" s="9">
        <f t="shared" ref="Y93" si="964">X93/$Z93</f>
        <v>0.1111111111111111</v>
      </c>
      <c r="Z93" s="5">
        <f t="shared" si="752"/>
        <v>2070</v>
      </c>
      <c r="AA93" s="10">
        <f t="shared" si="740"/>
        <v>1.0000000000000002</v>
      </c>
    </row>
    <row r="94" spans="1:27">
      <c r="A94" s="3" t="s">
        <v>100</v>
      </c>
      <c r="B94" s="4"/>
      <c r="C94" s="9" t="e">
        <f t="shared" si="717"/>
        <v>#DIV/0!</v>
      </c>
      <c r="D94" s="4"/>
      <c r="E94" s="9" t="e">
        <f t="shared" ref="E94" si="965">D94/$Z94</f>
        <v>#DIV/0!</v>
      </c>
      <c r="F94" s="4"/>
      <c r="G94" s="9" t="e">
        <f t="shared" ref="G94" si="966">F94/$Z94</f>
        <v>#DIV/0!</v>
      </c>
      <c r="H94" s="4"/>
      <c r="I94" s="9" t="e">
        <f t="shared" ref="I94" si="967">H94/$Z94</f>
        <v>#DIV/0!</v>
      </c>
      <c r="J94" s="4"/>
      <c r="K94" s="9" t="e">
        <f t="shared" ref="K94" si="968">J94/$Z94</f>
        <v>#DIV/0!</v>
      </c>
      <c r="L94" s="4"/>
      <c r="M94" s="9" t="e">
        <f t="shared" ref="M94" si="969">L94/$Z94</f>
        <v>#DIV/0!</v>
      </c>
      <c r="N94" s="4"/>
      <c r="O94" s="9" t="e">
        <f t="shared" ref="O94" si="970">N94/$Z94</f>
        <v>#DIV/0!</v>
      </c>
      <c r="P94" s="4"/>
      <c r="Q94" s="9" t="e">
        <f t="shared" ref="Q94" si="971">P94/$Z94</f>
        <v>#DIV/0!</v>
      </c>
      <c r="R94" s="4"/>
      <c r="S94" s="9" t="e">
        <f t="shared" ref="S94" si="972">R94/$Z94</f>
        <v>#DIV/0!</v>
      </c>
      <c r="T94" s="4"/>
      <c r="U94" s="9" t="e">
        <f t="shared" ref="U94" si="973">T94/$Z94</f>
        <v>#DIV/0!</v>
      </c>
      <c r="V94" s="4"/>
      <c r="W94" s="9" t="e">
        <f t="shared" ref="W94" si="974">V94/$Z94</f>
        <v>#DIV/0!</v>
      </c>
      <c r="X94" s="4"/>
      <c r="Y94" s="9" t="e">
        <f t="shared" ref="Y94" si="975">X94/$Z94</f>
        <v>#DIV/0!</v>
      </c>
      <c r="Z94" s="5">
        <f t="shared" si="752"/>
        <v>0</v>
      </c>
      <c r="AA94" s="10" t="e">
        <f t="shared" si="740"/>
        <v>#DIV/0!</v>
      </c>
    </row>
    <row r="95" spans="1:27">
      <c r="A95" s="3" t="s">
        <v>101</v>
      </c>
      <c r="B95" s="5">
        <f>697</f>
        <v>697</v>
      </c>
      <c r="C95" s="9">
        <f t="shared" si="717"/>
        <v>6.0250910030782437E-2</v>
      </c>
      <c r="D95" s="5">
        <f>1015.05</f>
        <v>1015.05</v>
      </c>
      <c r="E95" s="9">
        <f t="shared" ref="E95" si="976">D95/$Z95</f>
        <v>8.7744169622303747E-2</v>
      </c>
      <c r="F95" s="5">
        <f>698.48</f>
        <v>698.48</v>
      </c>
      <c r="G95" s="9">
        <f t="shared" ref="G95" si="977">F95/$Z95</f>
        <v>6.0378845965998448E-2</v>
      </c>
      <c r="H95" s="5">
        <f>3117.85</f>
        <v>3117.85</v>
      </c>
      <c r="I95" s="9">
        <f t="shared" ref="I95" si="978">H95/$Z95</f>
        <v>0.26951692946840033</v>
      </c>
      <c r="J95" s="5">
        <f>748.95</f>
        <v>748.95</v>
      </c>
      <c r="K95" s="9">
        <f t="shared" ref="K95" si="979">J95/$Z95</f>
        <v>6.4741634243263291E-2</v>
      </c>
      <c r="L95" s="5">
        <f>906.93</f>
        <v>906.93</v>
      </c>
      <c r="M95" s="9">
        <f t="shared" ref="M95" si="980">L95/$Z95</f>
        <v>7.8397930895577492E-2</v>
      </c>
      <c r="N95" s="5">
        <f>660</f>
        <v>660</v>
      </c>
      <c r="O95" s="9">
        <f t="shared" ref="O95" si="981">N95/$Z95</f>
        <v>5.705251165038222E-2</v>
      </c>
      <c r="P95" s="5">
        <f>715.01</f>
        <v>715.01</v>
      </c>
      <c r="Q95" s="9">
        <f t="shared" ref="Q95" si="982">P95/$Z95</f>
        <v>6.1807752053242113E-2</v>
      </c>
      <c r="R95" s="5">
        <f>798.99</f>
        <v>798.99</v>
      </c>
      <c r="S95" s="9">
        <f t="shared" ref="S95" si="983">R95/$Z95</f>
        <v>6.9067251944755895E-2</v>
      </c>
      <c r="T95" s="5">
        <f>719.99</f>
        <v>719.99</v>
      </c>
      <c r="U95" s="9">
        <f t="shared" ref="U95" si="984">T95/$Z95</f>
        <v>6.2238239186604087E-2</v>
      </c>
      <c r="V95" s="5">
        <f>796</f>
        <v>796</v>
      </c>
      <c r="W95" s="9">
        <f t="shared" ref="W95" si="985">V95/$Z95</f>
        <v>6.8808786778339764E-2</v>
      </c>
      <c r="X95" s="5">
        <f>694.04</f>
        <v>694.04</v>
      </c>
      <c r="Y95" s="9">
        <f t="shared" ref="Y95" si="986">X95/$Z95</f>
        <v>5.9995038160350414E-2</v>
      </c>
      <c r="Z95" s="5">
        <f t="shared" si="752"/>
        <v>11568.289999999997</v>
      </c>
      <c r="AA95" s="10">
        <f t="shared" si="740"/>
        <v>1.0000000000000002</v>
      </c>
    </row>
    <row r="96" spans="1:27">
      <c r="A96" s="3" t="s">
        <v>102</v>
      </c>
      <c r="B96" s="5">
        <f>307.54</f>
        <v>307.54000000000002</v>
      </c>
      <c r="C96" s="9">
        <f t="shared" si="717"/>
        <v>0.10293192315416026</v>
      </c>
      <c r="D96" s="4"/>
      <c r="E96" s="9">
        <f t="shared" ref="E96" si="987">D96/$Z96</f>
        <v>0</v>
      </c>
      <c r="F96" s="5">
        <f>307.52</f>
        <v>307.52</v>
      </c>
      <c r="G96" s="9">
        <f t="shared" ref="G96" si="988">F96/$Z96</f>
        <v>0.10292522926568044</v>
      </c>
      <c r="H96" s="5">
        <f>307.52</f>
        <v>307.52</v>
      </c>
      <c r="I96" s="9">
        <f t="shared" ref="I96" si="989">H96/$Z96</f>
        <v>0.10292522926568044</v>
      </c>
      <c r="J96" s="5">
        <f>307.52</f>
        <v>307.52</v>
      </c>
      <c r="K96" s="9">
        <f t="shared" ref="K96" si="990">J96/$Z96</f>
        <v>0.10292522926568044</v>
      </c>
      <c r="L96" s="5">
        <f>307.44</f>
        <v>307.44</v>
      </c>
      <c r="M96" s="9">
        <f t="shared" ref="M96" si="991">L96/$Z96</f>
        <v>0.10289845371176116</v>
      </c>
      <c r="N96" s="5">
        <f>307.44</f>
        <v>307.44</v>
      </c>
      <c r="O96" s="9">
        <f t="shared" ref="O96" si="992">N96/$Z96</f>
        <v>0.10289845371176116</v>
      </c>
      <c r="P96" s="5">
        <f>307.44</f>
        <v>307.44</v>
      </c>
      <c r="Q96" s="9">
        <f t="shared" ref="Q96" si="993">P96/$Z96</f>
        <v>0.10289845371176116</v>
      </c>
      <c r="R96" s="5">
        <f>168.47</f>
        <v>168.47</v>
      </c>
      <c r="S96" s="9">
        <f t="shared" ref="S96" si="994">R96/$Z96</f>
        <v>5.6385969609746303E-2</v>
      </c>
      <c r="T96" s="5">
        <f>222.26</f>
        <v>222.26</v>
      </c>
      <c r="U96" s="9">
        <f t="shared" ref="U96" si="995">T96/$Z96</f>
        <v>7.4389182676216623E-2</v>
      </c>
      <c r="V96" s="5">
        <f>222.26</f>
        <v>222.26</v>
      </c>
      <c r="W96" s="9">
        <f t="shared" ref="W96" si="996">V96/$Z96</f>
        <v>7.4389182676216623E-2</v>
      </c>
      <c r="X96" s="5">
        <f>222.39</f>
        <v>222.39</v>
      </c>
      <c r="Y96" s="9">
        <f t="shared" ref="Y96" si="997">X96/$Z96</f>
        <v>7.4432692951335436E-2</v>
      </c>
      <c r="Z96" s="5">
        <f t="shared" si="752"/>
        <v>2987.7999999999997</v>
      </c>
      <c r="AA96" s="10">
        <f t="shared" si="740"/>
        <v>1.0000000000000002</v>
      </c>
    </row>
    <row r="97" spans="1:27">
      <c r="A97" s="3" t="s">
        <v>103</v>
      </c>
      <c r="B97" s="5">
        <f>607.37</f>
        <v>607.37</v>
      </c>
      <c r="C97" s="9">
        <f t="shared" si="717"/>
        <v>0.17553488183901667</v>
      </c>
      <c r="D97" s="5">
        <f>187.86</f>
        <v>187.86</v>
      </c>
      <c r="E97" s="9">
        <f t="shared" ref="E97" si="998">D97/$Z97</f>
        <v>5.429307160755005E-2</v>
      </c>
      <c r="F97" s="5">
        <f>233.81</f>
        <v>233.81</v>
      </c>
      <c r="G97" s="9">
        <f t="shared" ref="G97" si="999">F97/$Z97</f>
        <v>6.7572996234223762E-2</v>
      </c>
      <c r="H97" s="5">
        <f>407.37</f>
        <v>407.37</v>
      </c>
      <c r="I97" s="9">
        <f t="shared" ref="I97" si="1000">H97/$Z97</f>
        <v>0.11773325125501791</v>
      </c>
      <c r="J97" s="5">
        <f>202.81</f>
        <v>202.81</v>
      </c>
      <c r="K97" s="9">
        <f t="shared" ref="K97" si="1001">J97/$Z97</f>
        <v>5.8613743493703956E-2</v>
      </c>
      <c r="L97" s="5">
        <f>314.54</f>
        <v>314.54000000000002</v>
      </c>
      <c r="M97" s="9">
        <f t="shared" ref="M97" si="1002">L97/$Z97</f>
        <v>9.0904624419454877E-2</v>
      </c>
      <c r="N97" s="5">
        <f>187.86</f>
        <v>187.86</v>
      </c>
      <c r="O97" s="9">
        <f t="shared" ref="O97" si="1003">N97/$Z97</f>
        <v>5.429307160755005E-2</v>
      </c>
      <c r="P97" s="5">
        <f>202.81</f>
        <v>202.81</v>
      </c>
      <c r="Q97" s="9">
        <f t="shared" ref="Q97" si="1004">P97/$Z97</f>
        <v>5.8613743493703956E-2</v>
      </c>
      <c r="R97" s="5">
        <f>323.55</f>
        <v>323.55</v>
      </c>
      <c r="S97" s="9">
        <f t="shared" ref="S97" si="1005">R97/$Z97</f>
        <v>9.3508587877264016E-2</v>
      </c>
      <c r="T97" s="5">
        <f>202.81</f>
        <v>202.81</v>
      </c>
      <c r="U97" s="9">
        <f t="shared" ref="U97" si="1006">T97/$Z97</f>
        <v>5.8613743493703956E-2</v>
      </c>
      <c r="V97" s="5">
        <f>187.86</f>
        <v>187.86</v>
      </c>
      <c r="W97" s="9">
        <f t="shared" ref="W97" si="1007">V97/$Z97</f>
        <v>5.429307160755005E-2</v>
      </c>
      <c r="X97" s="5">
        <f>401.46</f>
        <v>401.46</v>
      </c>
      <c r="Y97" s="9">
        <f t="shared" ref="Y97" si="1008">X97/$Z97</f>
        <v>0.11602521307126074</v>
      </c>
      <c r="Z97" s="5">
        <f t="shared" si="752"/>
        <v>3460.11</v>
      </c>
      <c r="AA97" s="10">
        <f t="shared" si="740"/>
        <v>1</v>
      </c>
    </row>
    <row r="98" spans="1:27">
      <c r="A98" s="3" t="s">
        <v>104</v>
      </c>
      <c r="B98" s="5">
        <f>100</f>
        <v>100</v>
      </c>
      <c r="C98" s="9">
        <f t="shared" si="717"/>
        <v>0.11428571428571428</v>
      </c>
      <c r="D98" s="4"/>
      <c r="E98" s="9">
        <f t="shared" ref="E98" si="1009">D98/$Z98</f>
        <v>0</v>
      </c>
      <c r="F98" s="5">
        <f>300</f>
        <v>300</v>
      </c>
      <c r="G98" s="9">
        <f t="shared" ref="G98" si="1010">F98/$Z98</f>
        <v>0.34285714285714286</v>
      </c>
      <c r="H98" s="4"/>
      <c r="I98" s="9">
        <f t="shared" ref="I98" si="1011">H98/$Z98</f>
        <v>0</v>
      </c>
      <c r="J98" s="4"/>
      <c r="K98" s="9">
        <f t="shared" ref="K98" si="1012">J98/$Z98</f>
        <v>0</v>
      </c>
      <c r="L98" s="5">
        <f>25</f>
        <v>25</v>
      </c>
      <c r="M98" s="9">
        <f t="shared" ref="M98" si="1013">L98/$Z98</f>
        <v>2.8571428571428571E-2</v>
      </c>
      <c r="N98" s="4"/>
      <c r="O98" s="9">
        <f t="shared" ref="O98" si="1014">N98/$Z98</f>
        <v>0</v>
      </c>
      <c r="P98" s="4"/>
      <c r="Q98" s="9">
        <f t="shared" ref="Q98" si="1015">P98/$Z98</f>
        <v>0</v>
      </c>
      <c r="R98" s="4"/>
      <c r="S98" s="9">
        <f t="shared" ref="S98" si="1016">R98/$Z98</f>
        <v>0</v>
      </c>
      <c r="T98" s="4"/>
      <c r="U98" s="9">
        <f t="shared" ref="U98" si="1017">T98/$Z98</f>
        <v>0</v>
      </c>
      <c r="V98" s="5">
        <f>450</f>
        <v>450</v>
      </c>
      <c r="W98" s="9">
        <f t="shared" ref="W98" si="1018">V98/$Z98</f>
        <v>0.51428571428571423</v>
      </c>
      <c r="X98" s="4"/>
      <c r="Y98" s="9">
        <f t="shared" ref="Y98" si="1019">X98/$Z98</f>
        <v>0</v>
      </c>
      <c r="Z98" s="5">
        <f t="shared" si="752"/>
        <v>875</v>
      </c>
      <c r="AA98" s="10">
        <f t="shared" si="740"/>
        <v>1</v>
      </c>
    </row>
    <row r="99" spans="1:27">
      <c r="A99" s="3" t="s">
        <v>105</v>
      </c>
      <c r="B99" s="6">
        <f t="shared" ref="B99:X99" si="1020">((((B94)+(B95))+(B96))+(B97))+(B98)</f>
        <v>1711.9099999999999</v>
      </c>
      <c r="C99" s="9">
        <f t="shared" si="717"/>
        <v>9.0619441856525776E-2</v>
      </c>
      <c r="D99" s="6">
        <f t="shared" si="1020"/>
        <v>1202.9099999999999</v>
      </c>
      <c r="E99" s="9">
        <f t="shared" ref="E99" si="1021">D99/$Z99</f>
        <v>6.3675679681544833E-2</v>
      </c>
      <c r="F99" s="6">
        <f t="shared" si="1020"/>
        <v>1539.81</v>
      </c>
      <c r="G99" s="9">
        <f t="shared" ref="G99" si="1022">F99/$Z99</f>
        <v>8.1509380028796471E-2</v>
      </c>
      <c r="H99" s="6">
        <f t="shared" si="1020"/>
        <v>3832.74</v>
      </c>
      <c r="I99" s="9">
        <f t="shared" ref="I99" si="1023">H99/$Z99</f>
        <v>0.20288494113661384</v>
      </c>
      <c r="J99" s="6">
        <f t="shared" si="1020"/>
        <v>1259.28</v>
      </c>
      <c r="K99" s="9">
        <f t="shared" ref="K99" si="1024">J99/$Z99</f>
        <v>6.6659608706699416E-2</v>
      </c>
      <c r="L99" s="6">
        <f t="shared" si="1020"/>
        <v>1553.9099999999999</v>
      </c>
      <c r="M99" s="9">
        <f t="shared" ref="M99" si="1025">L99/$Z99</f>
        <v>8.2255759295333269E-2</v>
      </c>
      <c r="N99" s="6">
        <f t="shared" si="1020"/>
        <v>1155.3000000000002</v>
      </c>
      <c r="O99" s="9">
        <f t="shared" ref="O99" si="1026">N99/$Z99</f>
        <v>6.1155458626238682E-2</v>
      </c>
      <c r="P99" s="6">
        <f t="shared" si="1020"/>
        <v>1225.26</v>
      </c>
      <c r="Q99" s="9">
        <f t="shared" ref="Q99" si="1027">P99/$Z99</f>
        <v>6.4858770221055309E-2</v>
      </c>
      <c r="R99" s="6">
        <f t="shared" si="1020"/>
        <v>1291.01</v>
      </c>
      <c r="S99" s="9">
        <f t="shared" ref="S99" si="1028">R99/$Z99</f>
        <v>6.8339226729905986E-2</v>
      </c>
      <c r="T99" s="6">
        <f t="shared" si="1020"/>
        <v>1145.06</v>
      </c>
      <c r="U99" s="9">
        <f t="shared" ref="U99" si="1029">T99/$Z99</f>
        <v>6.0613407300753784E-2</v>
      </c>
      <c r="V99" s="6">
        <f t="shared" si="1020"/>
        <v>1656.12</v>
      </c>
      <c r="W99" s="9">
        <f t="shared" ref="W99" si="1030">V99/$Z99</f>
        <v>8.7666214957228747E-2</v>
      </c>
      <c r="X99" s="6">
        <f t="shared" si="1020"/>
        <v>1317.8899999999999</v>
      </c>
      <c r="Y99" s="9">
        <f t="shared" ref="Y99" si="1031">X99/$Z99</f>
        <v>6.9762111459303791E-2</v>
      </c>
      <c r="Z99" s="6">
        <f t="shared" si="752"/>
        <v>18891.2</v>
      </c>
      <c r="AA99" s="10">
        <f t="shared" si="740"/>
        <v>1</v>
      </c>
    </row>
    <row r="100" spans="1:27">
      <c r="A100" s="3" t="s">
        <v>106</v>
      </c>
      <c r="B100" s="5">
        <f t="shared" ref="B100:X100" si="1032">108.36</f>
        <v>108.36</v>
      </c>
      <c r="C100" s="9">
        <f t="shared" si="717"/>
        <v>8.3333333333333356E-2</v>
      </c>
      <c r="D100" s="5">
        <f t="shared" si="1032"/>
        <v>108.36</v>
      </c>
      <c r="E100" s="9">
        <f t="shared" ref="E100" si="1033">D100/$Z100</f>
        <v>8.3333333333333356E-2</v>
      </c>
      <c r="F100" s="5">
        <f t="shared" si="1032"/>
        <v>108.36</v>
      </c>
      <c r="G100" s="9">
        <f t="shared" ref="G100" si="1034">F100/$Z100</f>
        <v>8.3333333333333356E-2</v>
      </c>
      <c r="H100" s="5">
        <f t="shared" si="1032"/>
        <v>108.36</v>
      </c>
      <c r="I100" s="9">
        <f t="shared" ref="I100" si="1035">H100/$Z100</f>
        <v>8.3333333333333356E-2</v>
      </c>
      <c r="J100" s="5">
        <f t="shared" si="1032"/>
        <v>108.36</v>
      </c>
      <c r="K100" s="9">
        <f t="shared" ref="K100" si="1036">J100/$Z100</f>
        <v>8.3333333333333356E-2</v>
      </c>
      <c r="L100" s="5">
        <f t="shared" si="1032"/>
        <v>108.36</v>
      </c>
      <c r="M100" s="9">
        <f t="shared" ref="M100" si="1037">L100/$Z100</f>
        <v>8.3333333333333356E-2</v>
      </c>
      <c r="N100" s="5">
        <f t="shared" si="1032"/>
        <v>108.36</v>
      </c>
      <c r="O100" s="9">
        <f t="shared" ref="O100" si="1038">N100/$Z100</f>
        <v>8.3333333333333356E-2</v>
      </c>
      <c r="P100" s="5">
        <f t="shared" si="1032"/>
        <v>108.36</v>
      </c>
      <c r="Q100" s="9">
        <f t="shared" ref="Q100" si="1039">P100/$Z100</f>
        <v>8.3333333333333356E-2</v>
      </c>
      <c r="R100" s="5">
        <f t="shared" si="1032"/>
        <v>108.36</v>
      </c>
      <c r="S100" s="9">
        <f t="shared" ref="S100" si="1040">R100/$Z100</f>
        <v>8.3333333333333356E-2</v>
      </c>
      <c r="T100" s="5">
        <f t="shared" si="1032"/>
        <v>108.36</v>
      </c>
      <c r="U100" s="9">
        <f t="shared" ref="U100" si="1041">T100/$Z100</f>
        <v>8.3333333333333356E-2</v>
      </c>
      <c r="V100" s="5">
        <f t="shared" si="1032"/>
        <v>108.36</v>
      </c>
      <c r="W100" s="9">
        <f t="shared" ref="W100" si="1042">V100/$Z100</f>
        <v>8.3333333333333356E-2</v>
      </c>
      <c r="X100" s="5">
        <f t="shared" si="1032"/>
        <v>108.36</v>
      </c>
      <c r="Y100" s="9">
        <f t="shared" ref="Y100" si="1043">X100/$Z100</f>
        <v>8.3333333333333356E-2</v>
      </c>
      <c r="Z100" s="5">
        <f t="shared" si="752"/>
        <v>1300.3199999999997</v>
      </c>
      <c r="AA100" s="10">
        <f t="shared" si="740"/>
        <v>1.0000000000000002</v>
      </c>
    </row>
    <row r="101" spans="1:27">
      <c r="A101" s="3" t="s">
        <v>107</v>
      </c>
      <c r="B101" s="4"/>
      <c r="C101" s="9" t="e">
        <f t="shared" si="717"/>
        <v>#DIV/0!</v>
      </c>
      <c r="D101" s="4"/>
      <c r="E101" s="9" t="e">
        <f t="shared" ref="E101" si="1044">D101/$Z101</f>
        <v>#DIV/0!</v>
      </c>
      <c r="F101" s="4"/>
      <c r="G101" s="9" t="e">
        <f t="shared" ref="G101" si="1045">F101/$Z101</f>
        <v>#DIV/0!</v>
      </c>
      <c r="H101" s="4"/>
      <c r="I101" s="9" t="e">
        <f t="shared" ref="I101" si="1046">H101/$Z101</f>
        <v>#DIV/0!</v>
      </c>
      <c r="J101" s="4"/>
      <c r="K101" s="9" t="e">
        <f t="shared" ref="K101" si="1047">J101/$Z101</f>
        <v>#DIV/0!</v>
      </c>
      <c r="L101" s="4"/>
      <c r="M101" s="9" t="e">
        <f t="shared" ref="M101" si="1048">L101/$Z101</f>
        <v>#DIV/0!</v>
      </c>
      <c r="N101" s="4"/>
      <c r="O101" s="9" t="e">
        <f t="shared" ref="O101" si="1049">N101/$Z101</f>
        <v>#DIV/0!</v>
      </c>
      <c r="P101" s="4"/>
      <c r="Q101" s="9" t="e">
        <f t="shared" ref="Q101" si="1050">P101/$Z101</f>
        <v>#DIV/0!</v>
      </c>
      <c r="R101" s="4"/>
      <c r="S101" s="9" t="e">
        <f t="shared" ref="S101" si="1051">R101/$Z101</f>
        <v>#DIV/0!</v>
      </c>
      <c r="T101" s="4"/>
      <c r="U101" s="9" t="e">
        <f t="shared" ref="U101" si="1052">T101/$Z101</f>
        <v>#DIV/0!</v>
      </c>
      <c r="V101" s="4"/>
      <c r="W101" s="9" t="e">
        <f t="shared" ref="W101" si="1053">V101/$Z101</f>
        <v>#DIV/0!</v>
      </c>
      <c r="X101" s="4"/>
      <c r="Y101" s="9" t="e">
        <f t="shared" ref="Y101" si="1054">X101/$Z101</f>
        <v>#DIV/0!</v>
      </c>
      <c r="Z101" s="5">
        <f t="shared" si="752"/>
        <v>0</v>
      </c>
      <c r="AA101" s="10" t="e">
        <f t="shared" si="740"/>
        <v>#DIV/0!</v>
      </c>
    </row>
    <row r="102" spans="1:27">
      <c r="A102" s="3" t="s">
        <v>108</v>
      </c>
      <c r="B102" s="5">
        <f>1240</f>
        <v>1240</v>
      </c>
      <c r="C102" s="9">
        <f t="shared" si="717"/>
        <v>5.2144659377628258E-2</v>
      </c>
      <c r="D102" s="5">
        <f>1740</f>
        <v>1740</v>
      </c>
      <c r="E102" s="9">
        <f t="shared" ref="E102" si="1055">D102/$Z102</f>
        <v>7.3170731707317069E-2</v>
      </c>
      <c r="F102" s="5">
        <f>1840</f>
        <v>1840</v>
      </c>
      <c r="G102" s="9">
        <f t="shared" ref="G102" si="1056">F102/$Z102</f>
        <v>7.7375946173254842E-2</v>
      </c>
      <c r="H102" s="5">
        <f>1520</f>
        <v>1520</v>
      </c>
      <c r="I102" s="9">
        <f t="shared" ref="I102" si="1057">H102/$Z102</f>
        <v>6.3919259882253998E-2</v>
      </c>
      <c r="J102" s="5">
        <f>2120</f>
        <v>2120</v>
      </c>
      <c r="K102" s="9">
        <f t="shared" ref="K102" si="1058">J102/$Z102</f>
        <v>8.9150546677880568E-2</v>
      </c>
      <c r="L102" s="5">
        <f>1900</f>
        <v>1900</v>
      </c>
      <c r="M102" s="9">
        <f t="shared" ref="M102" si="1059">L102/$Z102</f>
        <v>7.9899074852817498E-2</v>
      </c>
      <c r="N102" s="5">
        <f>1500</f>
        <v>1500</v>
      </c>
      <c r="O102" s="9">
        <f t="shared" ref="O102" si="1060">N102/$Z102</f>
        <v>6.3078216989066446E-2</v>
      </c>
      <c r="P102" s="5">
        <f>2080</f>
        <v>2080</v>
      </c>
      <c r="Q102" s="9">
        <f t="shared" ref="Q102" si="1061">P102/$Z102</f>
        <v>8.7468460891505465E-2</v>
      </c>
      <c r="R102" s="5">
        <f>1760</f>
        <v>1760</v>
      </c>
      <c r="S102" s="9">
        <f t="shared" ref="S102" si="1062">R102/$Z102</f>
        <v>7.4011774600504621E-2</v>
      </c>
      <c r="T102" s="5">
        <f>1740</f>
        <v>1740</v>
      </c>
      <c r="U102" s="9">
        <f t="shared" ref="U102" si="1063">T102/$Z102</f>
        <v>7.3170731707317069E-2</v>
      </c>
      <c r="V102" s="5">
        <f>2060</f>
        <v>2060</v>
      </c>
      <c r="W102" s="9">
        <f t="shared" ref="W102" si="1064">V102/$Z102</f>
        <v>8.6627417998317913E-2</v>
      </c>
      <c r="X102" s="5">
        <f>4280</f>
        <v>4280</v>
      </c>
      <c r="Y102" s="9">
        <f t="shared" ref="Y102" si="1065">X102/$Z102</f>
        <v>0.17998317914213624</v>
      </c>
      <c r="Z102" s="5">
        <f t="shared" si="752"/>
        <v>23780</v>
      </c>
      <c r="AA102" s="10">
        <f t="shared" si="740"/>
        <v>1</v>
      </c>
    </row>
    <row r="103" spans="1:27">
      <c r="A103" s="3" t="s">
        <v>109</v>
      </c>
      <c r="B103" s="5">
        <f t="shared" ref="B103:X103" si="1066">7666.66</f>
        <v>7666.66</v>
      </c>
      <c r="C103" s="9">
        <f t="shared" si="717"/>
        <v>8.3333333333333301E-2</v>
      </c>
      <c r="D103" s="5">
        <f t="shared" si="1066"/>
        <v>7666.66</v>
      </c>
      <c r="E103" s="9">
        <f t="shared" ref="E103" si="1067">D103/$Z103</f>
        <v>8.3333333333333301E-2</v>
      </c>
      <c r="F103" s="5">
        <f t="shared" si="1066"/>
        <v>7666.66</v>
      </c>
      <c r="G103" s="9">
        <f t="shared" ref="G103" si="1068">F103/$Z103</f>
        <v>8.3333333333333301E-2</v>
      </c>
      <c r="H103" s="5">
        <f t="shared" si="1066"/>
        <v>7666.66</v>
      </c>
      <c r="I103" s="9">
        <f t="shared" ref="I103" si="1069">H103/$Z103</f>
        <v>8.3333333333333301E-2</v>
      </c>
      <c r="J103" s="5">
        <f t="shared" si="1066"/>
        <v>7666.66</v>
      </c>
      <c r="K103" s="9">
        <f t="shared" ref="K103" si="1070">J103/$Z103</f>
        <v>8.3333333333333301E-2</v>
      </c>
      <c r="L103" s="5">
        <f t="shared" si="1066"/>
        <v>7666.66</v>
      </c>
      <c r="M103" s="9">
        <f t="shared" ref="M103" si="1071">L103/$Z103</f>
        <v>8.3333333333333301E-2</v>
      </c>
      <c r="N103" s="5">
        <f t="shared" si="1066"/>
        <v>7666.66</v>
      </c>
      <c r="O103" s="9">
        <f t="shared" ref="O103" si="1072">N103/$Z103</f>
        <v>8.3333333333333301E-2</v>
      </c>
      <c r="P103" s="5">
        <f t="shared" si="1066"/>
        <v>7666.66</v>
      </c>
      <c r="Q103" s="9">
        <f t="shared" ref="Q103" si="1073">P103/$Z103</f>
        <v>8.3333333333333301E-2</v>
      </c>
      <c r="R103" s="5">
        <f t="shared" si="1066"/>
        <v>7666.66</v>
      </c>
      <c r="S103" s="9">
        <f t="shared" ref="S103" si="1074">R103/$Z103</f>
        <v>8.3333333333333301E-2</v>
      </c>
      <c r="T103" s="5">
        <f t="shared" si="1066"/>
        <v>7666.66</v>
      </c>
      <c r="U103" s="9">
        <f t="shared" ref="U103" si="1075">T103/$Z103</f>
        <v>8.3333333333333301E-2</v>
      </c>
      <c r="V103" s="5">
        <f t="shared" si="1066"/>
        <v>7666.66</v>
      </c>
      <c r="W103" s="9">
        <f t="shared" ref="W103" si="1076">V103/$Z103</f>
        <v>8.3333333333333301E-2</v>
      </c>
      <c r="X103" s="5">
        <f t="shared" si="1066"/>
        <v>7666.66</v>
      </c>
      <c r="Y103" s="9">
        <f t="shared" ref="Y103" si="1077">X103/$Z103</f>
        <v>8.3333333333333301E-2</v>
      </c>
      <c r="Z103" s="5">
        <f t="shared" si="752"/>
        <v>91999.920000000027</v>
      </c>
      <c r="AA103" s="10">
        <f t="shared" si="740"/>
        <v>0.99999999999999944</v>
      </c>
    </row>
    <row r="104" spans="1:27">
      <c r="A104" s="3" t="s">
        <v>110</v>
      </c>
      <c r="B104" s="6">
        <f t="shared" ref="B104:X104" si="1078">((B101)+(B102))+(B103)</f>
        <v>8906.66</v>
      </c>
      <c r="C104" s="9">
        <f t="shared" si="717"/>
        <v>7.6927501763690953E-2</v>
      </c>
      <c r="D104" s="6">
        <f t="shared" si="1078"/>
        <v>9406.66</v>
      </c>
      <c r="E104" s="9">
        <f t="shared" ref="E104" si="1079">D104/$Z104</f>
        <v>8.1246039900528505E-2</v>
      </c>
      <c r="F104" s="6">
        <f t="shared" si="1078"/>
        <v>9506.66</v>
      </c>
      <c r="G104" s="9">
        <f t="shared" ref="G104" si="1080">F104/$Z104</f>
        <v>8.2109747527896002E-2</v>
      </c>
      <c r="H104" s="6">
        <f t="shared" si="1078"/>
        <v>9186.66</v>
      </c>
      <c r="I104" s="9">
        <f t="shared" ref="I104" si="1081">H104/$Z104</f>
        <v>7.9345883120319982E-2</v>
      </c>
      <c r="J104" s="6">
        <f t="shared" si="1078"/>
        <v>9786.66</v>
      </c>
      <c r="K104" s="9">
        <f t="shared" ref="K104" si="1082">J104/$Z104</f>
        <v>8.4528128884525031E-2</v>
      </c>
      <c r="L104" s="6">
        <f t="shared" si="1078"/>
        <v>9566.66</v>
      </c>
      <c r="M104" s="9">
        <f t="shared" ref="M104" si="1083">L104/$Z104</f>
        <v>8.2627972104316508E-2</v>
      </c>
      <c r="N104" s="6">
        <f t="shared" si="1078"/>
        <v>9166.66</v>
      </c>
      <c r="O104" s="9">
        <f t="shared" ref="O104" si="1084">N104/$Z104</f>
        <v>7.917314159484648E-2</v>
      </c>
      <c r="P104" s="6">
        <f t="shared" si="1078"/>
        <v>9746.66</v>
      </c>
      <c r="Q104" s="9">
        <f t="shared" ref="Q104" si="1085">P104/$Z104</f>
        <v>8.4182645833578026E-2</v>
      </c>
      <c r="R104" s="6">
        <f t="shared" si="1078"/>
        <v>9426.66</v>
      </c>
      <c r="S104" s="9">
        <f t="shared" ref="S104" si="1086">R104/$Z104</f>
        <v>8.1418781426002007E-2</v>
      </c>
      <c r="T104" s="6">
        <f t="shared" si="1078"/>
        <v>9406.66</v>
      </c>
      <c r="U104" s="9">
        <f t="shared" ref="U104" si="1087">T104/$Z104</f>
        <v>8.1246039900528505E-2</v>
      </c>
      <c r="V104" s="6">
        <f t="shared" si="1078"/>
        <v>9726.66</v>
      </c>
      <c r="W104" s="9">
        <f t="shared" ref="W104" si="1088">V104/$Z104</f>
        <v>8.4009904308104524E-2</v>
      </c>
      <c r="X104" s="6">
        <f t="shared" si="1078"/>
        <v>11946.66</v>
      </c>
      <c r="Y104" s="9">
        <f t="shared" ref="Y104" si="1089">X104/$Z104</f>
        <v>0.10318421363566323</v>
      </c>
      <c r="Z104" s="6">
        <f t="shared" si="752"/>
        <v>115779.92000000003</v>
      </c>
      <c r="AA104" s="10">
        <f t="shared" si="740"/>
        <v>0.99999999999999967</v>
      </c>
    </row>
    <row r="105" spans="1:27">
      <c r="A105" s="3" t="s">
        <v>111</v>
      </c>
      <c r="B105" s="5">
        <f t="shared" ref="B105:T105" si="1090">151.98</f>
        <v>151.97999999999999</v>
      </c>
      <c r="C105" s="9">
        <f t="shared" si="717"/>
        <v>9.0909090909090898E-2</v>
      </c>
      <c r="D105" s="5">
        <f t="shared" si="1090"/>
        <v>151.97999999999999</v>
      </c>
      <c r="E105" s="9">
        <f t="shared" ref="E105" si="1091">D105/$Z105</f>
        <v>9.0909090909090898E-2</v>
      </c>
      <c r="F105" s="5">
        <f t="shared" si="1090"/>
        <v>151.97999999999999</v>
      </c>
      <c r="G105" s="9">
        <f t="shared" ref="G105" si="1092">F105/$Z105</f>
        <v>9.0909090909090898E-2</v>
      </c>
      <c r="H105" s="5">
        <f t="shared" si="1090"/>
        <v>151.97999999999999</v>
      </c>
      <c r="I105" s="9">
        <f t="shared" ref="I105" si="1093">H105/$Z105</f>
        <v>9.0909090909090898E-2</v>
      </c>
      <c r="J105" s="5">
        <f t="shared" si="1090"/>
        <v>151.97999999999999</v>
      </c>
      <c r="K105" s="9">
        <f t="shared" ref="K105" si="1094">J105/$Z105</f>
        <v>9.0909090909090898E-2</v>
      </c>
      <c r="L105" s="5">
        <f t="shared" si="1090"/>
        <v>151.97999999999999</v>
      </c>
      <c r="M105" s="9">
        <f t="shared" ref="M105" si="1095">L105/$Z105</f>
        <v>9.0909090909090898E-2</v>
      </c>
      <c r="N105" s="5">
        <f t="shared" si="1090"/>
        <v>151.97999999999999</v>
      </c>
      <c r="O105" s="9">
        <f t="shared" ref="O105" si="1096">N105/$Z105</f>
        <v>9.0909090909090898E-2</v>
      </c>
      <c r="P105" s="5">
        <f t="shared" si="1090"/>
        <v>151.97999999999999</v>
      </c>
      <c r="Q105" s="9">
        <f t="shared" ref="Q105" si="1097">P105/$Z105</f>
        <v>9.0909090909090898E-2</v>
      </c>
      <c r="R105" s="5">
        <f t="shared" si="1090"/>
        <v>151.97999999999999</v>
      </c>
      <c r="S105" s="9">
        <f t="shared" ref="S105" si="1098">R105/$Z105</f>
        <v>9.0909090909090898E-2</v>
      </c>
      <c r="T105" s="5">
        <f t="shared" si="1090"/>
        <v>151.97999999999999</v>
      </c>
      <c r="U105" s="9">
        <f t="shared" ref="U105" si="1099">T105/$Z105</f>
        <v>9.0909090909090898E-2</v>
      </c>
      <c r="V105" s="4"/>
      <c r="W105" s="9">
        <f t="shared" ref="W105" si="1100">V105/$Z105</f>
        <v>0</v>
      </c>
      <c r="X105" s="5">
        <f>151.98</f>
        <v>151.97999999999999</v>
      </c>
      <c r="Y105" s="9">
        <f t="shared" ref="Y105" si="1101">X105/$Z105</f>
        <v>9.0909090909090898E-2</v>
      </c>
      <c r="Z105" s="5">
        <f t="shared" si="752"/>
        <v>1671.78</v>
      </c>
      <c r="AA105" s="10">
        <f t="shared" si="740"/>
        <v>1</v>
      </c>
    </row>
    <row r="106" spans="1:27">
      <c r="A106" s="3" t="s">
        <v>112</v>
      </c>
      <c r="B106" s="6">
        <f t="shared" ref="B106:X106" si="1102">(((((((((((((((((((B74)+(B75))+(B76))+(B77))+(B78))+(B81))+(B82))+(B83))+(B84))+(B87))+(B88))+(B89))+(B90))+(B91))+(B92))+(B93))+(B99))+(B100))+(B104))+(B105)</f>
        <v>15219.36</v>
      </c>
      <c r="C106" s="9">
        <f t="shared" si="717"/>
        <v>8.1444551026059894E-2</v>
      </c>
      <c r="D106" s="6">
        <f t="shared" si="1102"/>
        <v>13718.21</v>
      </c>
      <c r="E106" s="9">
        <f t="shared" ref="E106" si="1103">D106/$Z106</f>
        <v>7.3411329670314981E-2</v>
      </c>
      <c r="F106" s="6">
        <f t="shared" si="1102"/>
        <v>15438.119999999999</v>
      </c>
      <c r="G106" s="9">
        <f t="shared" ref="G106" si="1104">F106/$Z106</f>
        <v>8.2615218516838784E-2</v>
      </c>
      <c r="H106" s="6">
        <f t="shared" si="1102"/>
        <v>18467.2</v>
      </c>
      <c r="I106" s="9">
        <f t="shared" ref="I106" si="1105">H106/$Z106</f>
        <v>9.8824971136003956E-2</v>
      </c>
      <c r="J106" s="6">
        <f t="shared" si="1102"/>
        <v>15442.22</v>
      </c>
      <c r="K106" s="9">
        <f t="shared" ref="K106" si="1106">J106/$Z106</f>
        <v>8.2637159167379085E-2</v>
      </c>
      <c r="L106" s="6">
        <f t="shared" si="1102"/>
        <v>15416.89</v>
      </c>
      <c r="M106" s="9">
        <f t="shared" ref="M106" si="1107">L106/$Z106</f>
        <v>8.2501608758065545E-2</v>
      </c>
      <c r="N106" s="6">
        <f t="shared" si="1102"/>
        <v>14603.43</v>
      </c>
      <c r="O106" s="9">
        <f t="shared" ref="O106" si="1108">N106/$Z106</f>
        <v>7.8148476663308694E-2</v>
      </c>
      <c r="P106" s="6">
        <f t="shared" si="1102"/>
        <v>15873.789999999999</v>
      </c>
      <c r="Q106" s="9">
        <f t="shared" ref="Q106" si="1109">P106/$Z106</f>
        <v>8.4946653448762566E-2</v>
      </c>
      <c r="R106" s="6">
        <f t="shared" si="1102"/>
        <v>15162.27</v>
      </c>
      <c r="S106" s="9">
        <f t="shared" ref="S106" si="1110">R106/$Z106</f>
        <v>8.1139040845731827E-2</v>
      </c>
      <c r="T106" s="6">
        <f t="shared" si="1102"/>
        <v>14716.77</v>
      </c>
      <c r="U106" s="9">
        <f t="shared" ref="U106" si="1111">T106/$Z106</f>
        <v>7.8755001866293153E-2</v>
      </c>
      <c r="V106" s="6">
        <f t="shared" si="1102"/>
        <v>15016.64</v>
      </c>
      <c r="W106" s="9">
        <f t="shared" ref="W106" si="1112">V106/$Z106</f>
        <v>8.0359719641297137E-2</v>
      </c>
      <c r="X106" s="6">
        <f t="shared" si="1102"/>
        <v>17792.849999999999</v>
      </c>
      <c r="Y106" s="9">
        <f t="shared" ref="Y106" si="1113">X106/$Z106</f>
        <v>9.5216269259944544E-2</v>
      </c>
      <c r="Z106" s="6">
        <f t="shared" si="752"/>
        <v>186867.74999999997</v>
      </c>
      <c r="AA106" s="10">
        <f t="shared" si="740"/>
        <v>1.0000000000000002</v>
      </c>
    </row>
    <row r="107" spans="1:27">
      <c r="A107" s="3" t="s">
        <v>113</v>
      </c>
      <c r="B107" s="6">
        <f t="shared" ref="B107:X107" si="1114">(B72)-(B106)</f>
        <v>1482.2699999999968</v>
      </c>
      <c r="C107" s="9">
        <f t="shared" si="717"/>
        <v>-0.10488838003153129</v>
      </c>
      <c r="D107" s="6">
        <f t="shared" si="1114"/>
        <v>4252.619999999999</v>
      </c>
      <c r="E107" s="9">
        <f t="shared" ref="E107" si="1115">D107/$Z107</f>
        <v>-0.30092386858648656</v>
      </c>
      <c r="F107" s="6">
        <f t="shared" si="1114"/>
        <v>4272.630000000001</v>
      </c>
      <c r="G107" s="9">
        <f t="shared" ref="G107" si="1116">F107/$Z107</f>
        <v>-0.30233981607542665</v>
      </c>
      <c r="H107" s="6">
        <f t="shared" si="1114"/>
        <v>-20216.34</v>
      </c>
      <c r="I107" s="9">
        <f t="shared" ref="I107" si="1117">H107/$Z107</f>
        <v>1.4305485186684288</v>
      </c>
      <c r="J107" s="6">
        <f t="shared" si="1114"/>
        <v>11790.909999999998</v>
      </c>
      <c r="K107" s="9">
        <f t="shared" ref="K107" si="1118">J107/$Z107</f>
        <v>-0.83434829619272144</v>
      </c>
      <c r="L107" s="6">
        <f t="shared" si="1114"/>
        <v>2271.8899999999994</v>
      </c>
      <c r="M107" s="9">
        <f t="shared" ref="M107" si="1119">L107/$Z107</f>
        <v>-0.16076346529973357</v>
      </c>
      <c r="N107" s="6">
        <f t="shared" si="1114"/>
        <v>9072.57</v>
      </c>
      <c r="O107" s="9">
        <f t="shared" ref="O107" si="1120">N107/$Z107</f>
        <v>-0.64199313891711496</v>
      </c>
      <c r="P107" s="6">
        <f t="shared" si="1114"/>
        <v>698.44000000000051</v>
      </c>
      <c r="Q107" s="9">
        <f t="shared" ref="Q107" si="1121">P107/$Z107</f>
        <v>-4.9423006705406523E-2</v>
      </c>
      <c r="R107" s="6">
        <f t="shared" si="1114"/>
        <v>-7677.7200000000012</v>
      </c>
      <c r="S107" s="9">
        <f t="shared" ref="S107" si="1122">R107/$Z107</f>
        <v>0.54329077235300605</v>
      </c>
      <c r="T107" s="6">
        <f t="shared" si="1114"/>
        <v>-6510.9400000000005</v>
      </c>
      <c r="U107" s="9">
        <f t="shared" ref="U107" si="1123">T107/$Z107</f>
        <v>0.46072709363510017</v>
      </c>
      <c r="V107" s="6">
        <f t="shared" si="1114"/>
        <v>9277.4800000000032</v>
      </c>
      <c r="W107" s="9">
        <f t="shared" ref="W107" si="1124">V107/$Z107</f>
        <v>-0.65649297899500991</v>
      </c>
      <c r="X107" s="6">
        <f t="shared" si="1114"/>
        <v>-22845.69</v>
      </c>
      <c r="Y107" s="9">
        <f t="shared" ref="Y107" si="1125">X107/$Z107</f>
        <v>1.6166065661468958</v>
      </c>
      <c r="Z107" s="6">
        <f t="shared" si="752"/>
        <v>-14131.880000000003</v>
      </c>
      <c r="AA107" s="10">
        <f t="shared" si="740"/>
        <v>1</v>
      </c>
    </row>
    <row r="108" spans="1:27">
      <c r="A108" s="3" t="s">
        <v>114</v>
      </c>
      <c r="B108" s="4"/>
      <c r="C108" s="9" t="e">
        <f t="shared" si="717"/>
        <v>#DIV/0!</v>
      </c>
      <c r="D108" s="4"/>
      <c r="E108" s="9" t="e">
        <f t="shared" ref="E108" si="1126">D108/$Z108</f>
        <v>#DIV/0!</v>
      </c>
      <c r="F108" s="4"/>
      <c r="G108" s="9" t="e">
        <f t="shared" ref="G108" si="1127">F108/$Z108</f>
        <v>#DIV/0!</v>
      </c>
      <c r="H108" s="4"/>
      <c r="I108" s="9" t="e">
        <f t="shared" ref="I108" si="1128">H108/$Z108</f>
        <v>#DIV/0!</v>
      </c>
      <c r="J108" s="4"/>
      <c r="K108" s="9" t="e">
        <f t="shared" ref="K108" si="1129">J108/$Z108</f>
        <v>#DIV/0!</v>
      </c>
      <c r="L108" s="4"/>
      <c r="M108" s="9" t="e">
        <f t="shared" ref="M108" si="1130">L108/$Z108</f>
        <v>#DIV/0!</v>
      </c>
      <c r="N108" s="4"/>
      <c r="O108" s="9" t="e">
        <f t="shared" ref="O108" si="1131">N108/$Z108</f>
        <v>#DIV/0!</v>
      </c>
      <c r="P108" s="4"/>
      <c r="Q108" s="9" t="e">
        <f t="shared" ref="Q108" si="1132">P108/$Z108</f>
        <v>#DIV/0!</v>
      </c>
      <c r="R108" s="4"/>
      <c r="S108" s="9" t="e">
        <f t="shared" ref="S108" si="1133">R108/$Z108</f>
        <v>#DIV/0!</v>
      </c>
      <c r="T108" s="4"/>
      <c r="U108" s="9" t="e">
        <f t="shared" ref="U108" si="1134">T108/$Z108</f>
        <v>#DIV/0!</v>
      </c>
      <c r="V108" s="4"/>
      <c r="W108" s="9" t="e">
        <f t="shared" ref="W108" si="1135">V108/$Z108</f>
        <v>#DIV/0!</v>
      </c>
      <c r="X108" s="4"/>
      <c r="Y108" s="9" t="e">
        <f t="shared" ref="Y108" si="1136">X108/$Z108</f>
        <v>#DIV/0!</v>
      </c>
      <c r="Z108" s="4"/>
      <c r="AA108" s="10" t="e">
        <f t="shared" si="740"/>
        <v>#DIV/0!</v>
      </c>
    </row>
    <row r="109" spans="1:27">
      <c r="A109" s="3" t="s">
        <v>115</v>
      </c>
      <c r="B109" s="4"/>
      <c r="C109" s="9">
        <f t="shared" si="717"/>
        <v>0</v>
      </c>
      <c r="D109" s="4"/>
      <c r="E109" s="9">
        <f t="shared" ref="E109" si="1137">D109/$Z109</f>
        <v>0</v>
      </c>
      <c r="F109" s="4"/>
      <c r="G109" s="9">
        <f t="shared" ref="G109" si="1138">F109/$Z109</f>
        <v>0</v>
      </c>
      <c r="H109" s="5">
        <f>2500</f>
        <v>2500</v>
      </c>
      <c r="I109" s="9">
        <f t="shared" ref="I109" si="1139">H109/$Z109</f>
        <v>1</v>
      </c>
      <c r="J109" s="4"/>
      <c r="K109" s="9">
        <f t="shared" ref="K109" si="1140">J109/$Z109</f>
        <v>0</v>
      </c>
      <c r="L109" s="4"/>
      <c r="M109" s="9">
        <f t="shared" ref="M109" si="1141">L109/$Z109</f>
        <v>0</v>
      </c>
      <c r="N109" s="4"/>
      <c r="O109" s="9">
        <f t="shared" ref="O109" si="1142">N109/$Z109</f>
        <v>0</v>
      </c>
      <c r="P109" s="4"/>
      <c r="Q109" s="9">
        <f t="shared" ref="Q109" si="1143">P109/$Z109</f>
        <v>0</v>
      </c>
      <c r="R109" s="4"/>
      <c r="S109" s="9">
        <f t="shared" ref="S109" si="1144">R109/$Z109</f>
        <v>0</v>
      </c>
      <c r="T109" s="4"/>
      <c r="U109" s="9">
        <f t="shared" ref="U109" si="1145">T109/$Z109</f>
        <v>0</v>
      </c>
      <c r="V109" s="4"/>
      <c r="W109" s="9">
        <f t="shared" ref="W109" si="1146">V109/$Z109</f>
        <v>0</v>
      </c>
      <c r="X109" s="4"/>
      <c r="Y109" s="9">
        <f t="shared" ref="Y109" si="1147">X109/$Z109</f>
        <v>0</v>
      </c>
      <c r="Z109" s="5">
        <f>(((((((((((B109)+(D109))+(F109))+(H109))+(J109))+(L109))+(N109))+(P109))+(R109))+(T109))+(V109))+(X109)</f>
        <v>2500</v>
      </c>
      <c r="AA109" s="10">
        <f t="shared" si="740"/>
        <v>1</v>
      </c>
    </row>
    <row r="110" spans="1:27">
      <c r="A110" s="3" t="s">
        <v>116</v>
      </c>
      <c r="B110" s="5">
        <f>7.54</f>
        <v>7.54</v>
      </c>
      <c r="C110" s="9">
        <f t="shared" si="717"/>
        <v>8.2639193336256037E-2</v>
      </c>
      <c r="D110" s="5">
        <f>13.25</f>
        <v>13.25</v>
      </c>
      <c r="E110" s="9">
        <f t="shared" ref="E110" si="1148">D110/$Z110</f>
        <v>0.14522139412538362</v>
      </c>
      <c r="F110" s="5">
        <f>1.63</f>
        <v>1.63</v>
      </c>
      <c r="G110" s="9">
        <f t="shared" ref="G110" si="1149">F110/$Z110</f>
        <v>1.7864971503726436E-2</v>
      </c>
      <c r="H110" s="5">
        <f>7.43</f>
        <v>7.43</v>
      </c>
      <c r="I110" s="9">
        <f t="shared" ref="I110" si="1150">H110/$Z110</f>
        <v>8.1433581762384924E-2</v>
      </c>
      <c r="J110" s="5">
        <f>13.49</f>
        <v>13.49</v>
      </c>
      <c r="K110" s="9">
        <f t="shared" ref="K110" si="1151">J110/$Z110</f>
        <v>0.14785181937746603</v>
      </c>
      <c r="L110" s="5">
        <f>1.72</f>
        <v>1.72</v>
      </c>
      <c r="M110" s="9">
        <f t="shared" ref="M110" si="1152">L110/$Z110</f>
        <v>1.8851380973257344E-2</v>
      </c>
      <c r="N110" s="5">
        <f>13.74</f>
        <v>13.74</v>
      </c>
      <c r="O110" s="9">
        <f t="shared" ref="O110" si="1153">N110/$Z110</f>
        <v>0.15059184568171854</v>
      </c>
      <c r="P110" s="5">
        <f>7.87</f>
        <v>7.87</v>
      </c>
      <c r="Q110" s="9">
        <f t="shared" ref="Q110" si="1154">P110/$Z110</f>
        <v>8.6256028057869361E-2</v>
      </c>
      <c r="R110" s="5">
        <f>2.07</f>
        <v>2.0699999999999998</v>
      </c>
      <c r="S110" s="9">
        <f t="shared" ref="S110" si="1155">R110/$Z110</f>
        <v>2.2687417799210872E-2</v>
      </c>
      <c r="T110" s="5">
        <f>1.78</f>
        <v>1.78</v>
      </c>
      <c r="U110" s="9">
        <f t="shared" ref="U110" si="1156">T110/$Z110</f>
        <v>1.9508987286277951E-2</v>
      </c>
      <c r="V110" s="5">
        <f>13.09</f>
        <v>13.09</v>
      </c>
      <c r="W110" s="9">
        <f t="shared" ref="W110" si="1157">V110/$Z110</f>
        <v>0.14346777729066199</v>
      </c>
      <c r="X110" s="5">
        <f>7.63</f>
        <v>7.63</v>
      </c>
      <c r="Y110" s="9">
        <f t="shared" ref="Y110" si="1158">X110/$Z110</f>
        <v>8.3625602805786944E-2</v>
      </c>
      <c r="Z110" s="5">
        <f>(((((((((((B110)+(D110))+(F110))+(H110))+(J110))+(L110))+(N110))+(P110))+(R110))+(T110))+(V110))+(X110)</f>
        <v>91.24</v>
      </c>
      <c r="AA110" s="10">
        <f t="shared" si="740"/>
        <v>1</v>
      </c>
    </row>
    <row r="111" spans="1:27">
      <c r="A111" s="3" t="s">
        <v>117</v>
      </c>
      <c r="B111" s="5">
        <f>-180.15</f>
        <v>-180.15</v>
      </c>
      <c r="C111" s="9">
        <f t="shared" si="717"/>
        <v>-7.5347249814925576E-2</v>
      </c>
      <c r="D111" s="5">
        <f>46.53</f>
        <v>46.53</v>
      </c>
      <c r="E111" s="9">
        <f t="shared" ref="E111" si="1159">D111/$Z111</f>
        <v>1.9461046538376284E-2</v>
      </c>
      <c r="F111" s="5">
        <f>802.69</f>
        <v>802.69</v>
      </c>
      <c r="G111" s="9">
        <f t="shared" ref="G111" si="1160">F111/$Z111</f>
        <v>0.33572291953340339</v>
      </c>
      <c r="H111" s="5">
        <f>724.25</f>
        <v>724.25</v>
      </c>
      <c r="I111" s="9">
        <f t="shared" ref="I111" si="1161">H111/$Z111</f>
        <v>0.30291560187876687</v>
      </c>
      <c r="J111" s="5">
        <f>161.97</f>
        <v>161.97</v>
      </c>
      <c r="K111" s="9">
        <f t="shared" ref="K111" si="1162">J111/$Z111</f>
        <v>6.7743514030105451E-2</v>
      </c>
      <c r="L111" s="5">
        <f>-397.98</f>
        <v>-397.98</v>
      </c>
      <c r="M111" s="9">
        <f t="shared" ref="M111" si="1163">L111/$Z111</f>
        <v>-0.16645405762611204</v>
      </c>
      <c r="N111" s="5">
        <f>682.06</f>
        <v>682.06</v>
      </c>
      <c r="O111" s="9">
        <f t="shared" ref="O111" si="1164">N111/$Z111</f>
        <v>0.28526974859155224</v>
      </c>
      <c r="P111" s="5">
        <f>363.64</f>
        <v>363.64</v>
      </c>
      <c r="Q111" s="9">
        <f t="shared" ref="Q111" si="1165">P111/$Z111</f>
        <v>0.15209144558811843</v>
      </c>
      <c r="R111" s="5">
        <f>-98.18</f>
        <v>-98.18</v>
      </c>
      <c r="S111" s="9">
        <f t="shared" ref="S111" si="1166">R111/$Z111</f>
        <v>-4.1063519216371878E-2</v>
      </c>
      <c r="T111" s="5">
        <f>669.55</f>
        <v>669.55</v>
      </c>
      <c r="U111" s="9">
        <f t="shared" ref="U111" si="1167">T111/$Z111</f>
        <v>0.28003747495744336</v>
      </c>
      <c r="V111" s="5">
        <f>255.97</f>
        <v>255.97</v>
      </c>
      <c r="W111" s="9">
        <f t="shared" ref="W111" si="1168">V111/$Z111</f>
        <v>0.10705875956217874</v>
      </c>
      <c r="X111" s="5">
        <f>-639.42</f>
        <v>-639.41999999999996</v>
      </c>
      <c r="Y111" s="9">
        <f t="shared" ref="Y111" si="1169">X111/$Z111</f>
        <v>-0.26743568402253515</v>
      </c>
      <c r="Z111" s="5">
        <f>(((((((((((B111)+(D111))+(F111))+(H111))+(J111))+(L111))+(N111))+(P111))+(R111))+(T111))+(V111))+(X111)</f>
        <v>2390.9299999999998</v>
      </c>
      <c r="AA111" s="10">
        <f t="shared" si="740"/>
        <v>1.0000000000000002</v>
      </c>
    </row>
    <row r="112" spans="1:27">
      <c r="A112" s="3" t="s">
        <v>118</v>
      </c>
      <c r="B112" s="5">
        <f>3880</f>
        <v>3880</v>
      </c>
      <c r="C112" s="9">
        <f t="shared" si="717"/>
        <v>0.418554476806904</v>
      </c>
      <c r="D112" s="5">
        <f>1635</f>
        <v>1635</v>
      </c>
      <c r="E112" s="9">
        <f t="shared" ref="E112" si="1170">D112/$Z112</f>
        <v>0.17637540453074432</v>
      </c>
      <c r="F112" s="5">
        <f>2350</f>
        <v>2350</v>
      </c>
      <c r="G112" s="9">
        <f t="shared" ref="G112" si="1171">F112/$Z112</f>
        <v>0.25350593311758363</v>
      </c>
      <c r="H112" s="5">
        <f>705</f>
        <v>705</v>
      </c>
      <c r="I112" s="9">
        <f t="shared" ref="I112" si="1172">H112/$Z112</f>
        <v>7.605177993527508E-2</v>
      </c>
      <c r="J112" s="5">
        <f>500</f>
        <v>500</v>
      </c>
      <c r="K112" s="9">
        <f t="shared" ref="K112" si="1173">J112/$Z112</f>
        <v>5.3937432578209279E-2</v>
      </c>
      <c r="L112" s="4"/>
      <c r="M112" s="9">
        <f t="shared" ref="M112" si="1174">L112/$Z112</f>
        <v>0</v>
      </c>
      <c r="N112" s="5">
        <f>200</f>
        <v>200</v>
      </c>
      <c r="O112" s="9">
        <f t="shared" ref="O112" si="1175">N112/$Z112</f>
        <v>2.1574973031283712E-2</v>
      </c>
      <c r="P112" s="4"/>
      <c r="Q112" s="9">
        <f t="shared" ref="Q112" si="1176">P112/$Z112</f>
        <v>0</v>
      </c>
      <c r="R112" s="4"/>
      <c r="S112" s="9">
        <f t="shared" ref="S112" si="1177">R112/$Z112</f>
        <v>0</v>
      </c>
      <c r="T112" s="4"/>
      <c r="U112" s="9">
        <f t="shared" ref="U112" si="1178">T112/$Z112</f>
        <v>0</v>
      </c>
      <c r="V112" s="4"/>
      <c r="W112" s="9">
        <f t="shared" ref="W112" si="1179">V112/$Z112</f>
        <v>0</v>
      </c>
      <c r="X112" s="4"/>
      <c r="Y112" s="9">
        <f t="shared" ref="Y112" si="1180">X112/$Z112</f>
        <v>0</v>
      </c>
      <c r="Z112" s="5">
        <f>(((((((((((B112)+(D112))+(F112))+(H112))+(J112))+(L112))+(N112))+(P112))+(R112))+(T112))+(V112))+(X112)</f>
        <v>9270</v>
      </c>
      <c r="AA112" s="10">
        <f t="shared" si="740"/>
        <v>1</v>
      </c>
    </row>
    <row r="113" spans="1:27">
      <c r="A113" s="3" t="s">
        <v>119</v>
      </c>
      <c r="B113" s="6">
        <f t="shared" ref="B113:X113" si="1181">(((B109)+(B110))+(B111))+(B112)</f>
        <v>3707.39</v>
      </c>
      <c r="C113" s="9">
        <f t="shared" si="717"/>
        <v>0.26012810680759496</v>
      </c>
      <c r="D113" s="6">
        <f t="shared" si="1181"/>
        <v>1694.78</v>
      </c>
      <c r="E113" s="9">
        <f t="shared" ref="E113" si="1182">D113/$Z113</f>
        <v>0.11891382154436834</v>
      </c>
      <c r="F113" s="6">
        <f t="shared" si="1181"/>
        <v>3154.32</v>
      </c>
      <c r="G113" s="9">
        <f t="shared" ref="G113" si="1183">F113/$Z113</f>
        <v>0.22132208639105488</v>
      </c>
      <c r="H113" s="6">
        <f t="shared" si="1181"/>
        <v>3936.68</v>
      </c>
      <c r="I113" s="9">
        <f t="shared" ref="I113" si="1184">H113/$Z113</f>
        <v>0.2762161832198185</v>
      </c>
      <c r="J113" s="6">
        <f t="shared" si="1181"/>
        <v>675.46</v>
      </c>
      <c r="K113" s="9">
        <f t="shared" ref="K113" si="1185">J113/$Z113</f>
        <v>4.7393484641286211E-2</v>
      </c>
      <c r="L113" s="6">
        <f t="shared" si="1181"/>
        <v>-396.26</v>
      </c>
      <c r="M113" s="9">
        <f t="shared" ref="M113" si="1186">L113/$Z113</f>
        <v>-2.7803485363983173E-2</v>
      </c>
      <c r="N113" s="6">
        <f t="shared" si="1181"/>
        <v>895.8</v>
      </c>
      <c r="O113" s="9">
        <f t="shared" ref="O113" si="1187">N113/$Z113</f>
        <v>6.2853586506475864E-2</v>
      </c>
      <c r="P113" s="6">
        <f t="shared" si="1181"/>
        <v>371.51</v>
      </c>
      <c r="Q113" s="9">
        <f t="shared" ref="Q113" si="1188">P113/$Z113</f>
        <v>2.6066907705984424E-2</v>
      </c>
      <c r="R113" s="6">
        <f t="shared" si="1181"/>
        <v>-96.110000000000014</v>
      </c>
      <c r="S113" s="9">
        <f t="shared" ref="S113" si="1189">R113/$Z113</f>
        <v>-6.7435344933438222E-3</v>
      </c>
      <c r="T113" s="6">
        <f t="shared" si="1181"/>
        <v>671.32999999999993</v>
      </c>
      <c r="U113" s="9">
        <f t="shared" ref="U113" si="1190">T113/$Z113</f>
        <v>4.7103704207850455E-2</v>
      </c>
      <c r="V113" s="6">
        <f t="shared" si="1181"/>
        <v>269.06</v>
      </c>
      <c r="W113" s="9">
        <f t="shared" ref="W113" si="1191">V113/$Z113</f>
        <v>1.8878528673177492E-2</v>
      </c>
      <c r="X113" s="6">
        <f t="shared" si="1181"/>
        <v>-631.79</v>
      </c>
      <c r="Y113" s="9">
        <f t="shared" ref="Y113" si="1192">X113/$Z113</f>
        <v>-4.4329389840283971E-2</v>
      </c>
      <c r="Z113" s="6">
        <f>(((((((((((B113)+(D113))+(F113))+(H113))+(J113))+(L113))+(N113))+(P113))+(R113))+(T113))+(V113))+(X113)</f>
        <v>14252.169999999998</v>
      </c>
      <c r="AA113" s="10">
        <f t="shared" si="740"/>
        <v>1.0000000000000002</v>
      </c>
    </row>
    <row r="114" spans="1:27">
      <c r="A114" s="3" t="s">
        <v>120</v>
      </c>
      <c r="B114" s="4"/>
      <c r="C114" s="9" t="e">
        <f t="shared" si="717"/>
        <v>#DIV/0!</v>
      </c>
      <c r="D114" s="4"/>
      <c r="E114" s="9" t="e">
        <f t="shared" ref="E114" si="1193">D114/$Z114</f>
        <v>#DIV/0!</v>
      </c>
      <c r="F114" s="4"/>
      <c r="G114" s="9" t="e">
        <f t="shared" ref="G114" si="1194">F114/$Z114</f>
        <v>#DIV/0!</v>
      </c>
      <c r="H114" s="4"/>
      <c r="I114" s="9" t="e">
        <f t="shared" ref="I114" si="1195">H114/$Z114</f>
        <v>#DIV/0!</v>
      </c>
      <c r="J114" s="4"/>
      <c r="K114" s="9" t="e">
        <f t="shared" ref="K114" si="1196">J114/$Z114</f>
        <v>#DIV/0!</v>
      </c>
      <c r="L114" s="4"/>
      <c r="M114" s="9" t="e">
        <f t="shared" ref="M114" si="1197">L114/$Z114</f>
        <v>#DIV/0!</v>
      </c>
      <c r="N114" s="4"/>
      <c r="O114" s="9" t="e">
        <f t="shared" ref="O114" si="1198">N114/$Z114</f>
        <v>#DIV/0!</v>
      </c>
      <c r="P114" s="4"/>
      <c r="Q114" s="9" t="e">
        <f t="shared" ref="Q114" si="1199">P114/$Z114</f>
        <v>#DIV/0!</v>
      </c>
      <c r="R114" s="4"/>
      <c r="S114" s="9" t="e">
        <f t="shared" ref="S114" si="1200">R114/$Z114</f>
        <v>#DIV/0!</v>
      </c>
      <c r="T114" s="4"/>
      <c r="U114" s="9" t="e">
        <f t="shared" ref="U114" si="1201">T114/$Z114</f>
        <v>#DIV/0!</v>
      </c>
      <c r="V114" s="4"/>
      <c r="W114" s="9" t="e">
        <f t="shared" ref="W114" si="1202">V114/$Z114</f>
        <v>#DIV/0!</v>
      </c>
      <c r="X114" s="4"/>
      <c r="Y114" s="9" t="e">
        <f t="shared" ref="Y114" si="1203">X114/$Z114</f>
        <v>#DIV/0!</v>
      </c>
      <c r="Z114" s="4"/>
      <c r="AA114" s="10" t="e">
        <f t="shared" si="740"/>
        <v>#DIV/0!</v>
      </c>
    </row>
    <row r="115" spans="1:27">
      <c r="A115" s="3" t="s">
        <v>121</v>
      </c>
      <c r="B115" s="5">
        <f>366.15</f>
        <v>366.15</v>
      </c>
      <c r="C115" s="9">
        <f t="shared" si="717"/>
        <v>4.6816563205237215E-2</v>
      </c>
      <c r="D115" s="5">
        <f>4088</f>
        <v>4088</v>
      </c>
      <c r="E115" s="9">
        <f t="shared" ref="E115" si="1204">D115/$Z115</f>
        <v>0.52269864914108899</v>
      </c>
      <c r="F115" s="4"/>
      <c r="G115" s="9">
        <f t="shared" ref="G115" si="1205">F115/$Z115</f>
        <v>0</v>
      </c>
      <c r="H115" s="4"/>
      <c r="I115" s="9">
        <f t="shared" ref="I115" si="1206">H115/$Z115</f>
        <v>0</v>
      </c>
      <c r="J115" s="4"/>
      <c r="K115" s="9">
        <f t="shared" ref="K115" si="1207">J115/$Z115</f>
        <v>0</v>
      </c>
      <c r="L115" s="4"/>
      <c r="M115" s="9">
        <f t="shared" ref="M115" si="1208">L115/$Z115</f>
        <v>0</v>
      </c>
      <c r="N115" s="4"/>
      <c r="O115" s="9">
        <f t="shared" ref="O115" si="1209">N115/$Z115</f>
        <v>0</v>
      </c>
      <c r="P115" s="5">
        <f>3366.8</f>
        <v>3366.8</v>
      </c>
      <c r="Q115" s="9">
        <f t="shared" ref="Q115" si="1210">P115/$Z115</f>
        <v>0.43048478765367382</v>
      </c>
      <c r="R115" s="4"/>
      <c r="S115" s="9">
        <f t="shared" ref="S115" si="1211">R115/$Z115</f>
        <v>0</v>
      </c>
      <c r="T115" s="4"/>
      <c r="U115" s="9">
        <f t="shared" ref="U115" si="1212">T115/$Z115</f>
        <v>0</v>
      </c>
      <c r="V115" s="4"/>
      <c r="W115" s="9">
        <f t="shared" ref="W115" si="1213">V115/$Z115</f>
        <v>0</v>
      </c>
      <c r="X115" s="4"/>
      <c r="Y115" s="9">
        <f t="shared" ref="Y115" si="1214">X115/$Z115</f>
        <v>0</v>
      </c>
      <c r="Z115" s="5">
        <f>(((((((((((B115)+(D115))+(F115))+(H115))+(J115))+(L115))+(N115))+(P115))+(R115))+(T115))+(V115))+(X115)</f>
        <v>7820.95</v>
      </c>
      <c r="AA115" s="10">
        <f t="shared" si="740"/>
        <v>1</v>
      </c>
    </row>
    <row r="116" spans="1:27">
      <c r="A116" s="3" t="s">
        <v>122</v>
      </c>
      <c r="B116" s="6">
        <f t="shared" ref="B116:X116" si="1215">B115</f>
        <v>366.15</v>
      </c>
      <c r="C116" s="9">
        <f t="shared" si="717"/>
        <v>4.6816563205237215E-2</v>
      </c>
      <c r="D116" s="6">
        <f t="shared" si="1215"/>
        <v>4088</v>
      </c>
      <c r="E116" s="9">
        <f t="shared" ref="E116" si="1216">D116/$Z116</f>
        <v>0.52269864914108899</v>
      </c>
      <c r="F116" s="6">
        <f t="shared" si="1215"/>
        <v>0</v>
      </c>
      <c r="G116" s="9">
        <f t="shared" ref="G116" si="1217">F116/$Z116</f>
        <v>0</v>
      </c>
      <c r="H116" s="6">
        <f t="shared" si="1215"/>
        <v>0</v>
      </c>
      <c r="I116" s="9">
        <f t="shared" ref="I116" si="1218">H116/$Z116</f>
        <v>0</v>
      </c>
      <c r="J116" s="6">
        <f t="shared" si="1215"/>
        <v>0</v>
      </c>
      <c r="K116" s="9">
        <f t="shared" ref="K116" si="1219">J116/$Z116</f>
        <v>0</v>
      </c>
      <c r="L116" s="6">
        <f t="shared" si="1215"/>
        <v>0</v>
      </c>
      <c r="M116" s="9">
        <f t="shared" ref="M116" si="1220">L116/$Z116</f>
        <v>0</v>
      </c>
      <c r="N116" s="6">
        <f t="shared" si="1215"/>
        <v>0</v>
      </c>
      <c r="O116" s="9">
        <f t="shared" ref="O116" si="1221">N116/$Z116</f>
        <v>0</v>
      </c>
      <c r="P116" s="6">
        <f t="shared" si="1215"/>
        <v>3366.8</v>
      </c>
      <c r="Q116" s="9">
        <f t="shared" ref="Q116" si="1222">P116/$Z116</f>
        <v>0.43048478765367382</v>
      </c>
      <c r="R116" s="6">
        <f t="shared" si="1215"/>
        <v>0</v>
      </c>
      <c r="S116" s="9">
        <f t="shared" ref="S116" si="1223">R116/$Z116</f>
        <v>0</v>
      </c>
      <c r="T116" s="6">
        <f t="shared" si="1215"/>
        <v>0</v>
      </c>
      <c r="U116" s="9">
        <f t="shared" ref="U116" si="1224">T116/$Z116</f>
        <v>0</v>
      </c>
      <c r="V116" s="6">
        <f t="shared" si="1215"/>
        <v>0</v>
      </c>
      <c r="W116" s="9">
        <f t="shared" ref="W116" si="1225">V116/$Z116</f>
        <v>0</v>
      </c>
      <c r="X116" s="6">
        <f t="shared" si="1215"/>
        <v>0</v>
      </c>
      <c r="Y116" s="9">
        <f t="shared" ref="Y116" si="1226">X116/$Z116</f>
        <v>0</v>
      </c>
      <c r="Z116" s="6">
        <f>(((((((((((B116)+(D116))+(F116))+(H116))+(J116))+(L116))+(N116))+(P116))+(R116))+(T116))+(V116))+(X116)</f>
        <v>7820.95</v>
      </c>
      <c r="AA116" s="10">
        <f t="shared" si="740"/>
        <v>1</v>
      </c>
    </row>
    <row r="117" spans="1:27">
      <c r="A117" s="3" t="s">
        <v>123</v>
      </c>
      <c r="B117" s="6">
        <f t="shared" ref="B117:X117" si="1227">(B113)-(B116)</f>
        <v>3341.24</v>
      </c>
      <c r="C117" s="9">
        <f t="shared" si="717"/>
        <v>0.51953439627317988</v>
      </c>
      <c r="D117" s="6">
        <f t="shared" si="1227"/>
        <v>-2393.2200000000003</v>
      </c>
      <c r="E117" s="9">
        <f t="shared" ref="E117" si="1228">D117/$Z117</f>
        <v>-0.37212535102204564</v>
      </c>
      <c r="F117" s="6">
        <f t="shared" si="1227"/>
        <v>3154.32</v>
      </c>
      <c r="G117" s="9">
        <f t="shared" ref="G117" si="1229">F117/$Z117</f>
        <v>0.49046992639032727</v>
      </c>
      <c r="H117" s="6">
        <f t="shared" si="1227"/>
        <v>3936.68</v>
      </c>
      <c r="I117" s="9">
        <f t="shared" ref="I117" si="1230">H117/$Z117</f>
        <v>0.61212025090107325</v>
      </c>
      <c r="J117" s="6">
        <f t="shared" si="1227"/>
        <v>675.46</v>
      </c>
      <c r="K117" s="9">
        <f t="shared" ref="K117" si="1231">J117/$Z117</f>
        <v>0.1050282839025877</v>
      </c>
      <c r="L117" s="6">
        <f t="shared" si="1227"/>
        <v>-396.26</v>
      </c>
      <c r="M117" s="9">
        <f t="shared" ref="M117" si="1232">L117/$Z117</f>
        <v>-6.1615059040119921E-2</v>
      </c>
      <c r="N117" s="6">
        <f t="shared" si="1227"/>
        <v>895.8</v>
      </c>
      <c r="O117" s="9">
        <f t="shared" ref="O117" si="1233">N117/$Z117</f>
        <v>0.13928927948351946</v>
      </c>
      <c r="P117" s="6">
        <f t="shared" si="1227"/>
        <v>-2995.29</v>
      </c>
      <c r="Q117" s="9">
        <f t="shared" ref="Q117" si="1234">P117/$Z117</f>
        <v>-0.46574211424892947</v>
      </c>
      <c r="R117" s="6">
        <f t="shared" si="1227"/>
        <v>-96.110000000000014</v>
      </c>
      <c r="S117" s="9">
        <f t="shared" ref="S117" si="1235">R117/$Z117</f>
        <v>-1.4944287398036457E-2</v>
      </c>
      <c r="T117" s="6">
        <f t="shared" si="1227"/>
        <v>671.32999999999993</v>
      </c>
      <c r="U117" s="9">
        <f t="shared" ref="U117" si="1236">T117/$Z117</f>
        <v>0.10438610403624818</v>
      </c>
      <c r="V117" s="6">
        <f t="shared" si="1227"/>
        <v>269.06</v>
      </c>
      <c r="W117" s="9">
        <f t="shared" ref="W117" si="1237">V117/$Z117</f>
        <v>4.1836541122835177E-2</v>
      </c>
      <c r="X117" s="6">
        <f t="shared" si="1227"/>
        <v>-631.79</v>
      </c>
      <c r="Y117" s="9">
        <f t="shared" ref="Y117" si="1238">X117/$Z117</f>
        <v>-9.8237970400639391E-2</v>
      </c>
      <c r="Z117" s="6">
        <f>(((((((((((B117)+(D117))+(F117))+(H117))+(J117))+(L117))+(N117))+(P117))+(R117))+(T117))+(V117))+(X117)</f>
        <v>6431.2199999999993</v>
      </c>
      <c r="AA117" s="10">
        <f t="shared" si="740"/>
        <v>1.0000000000000002</v>
      </c>
    </row>
    <row r="118" spans="1:27">
      <c r="A118" s="3" t="s">
        <v>124</v>
      </c>
      <c r="B118" s="7">
        <f t="shared" ref="B118:X118" si="1239">(B107)+(B117)</f>
        <v>4823.5099999999966</v>
      </c>
      <c r="C118" s="9">
        <f t="shared" si="717"/>
        <v>-0.62637618074294843</v>
      </c>
      <c r="D118" s="7">
        <f t="shared" si="1239"/>
        <v>1859.3999999999987</v>
      </c>
      <c r="E118" s="9">
        <f t="shared" ref="E118" si="1240">D118/$Z118</f>
        <v>-0.24145982292426849</v>
      </c>
      <c r="F118" s="7">
        <f t="shared" si="1239"/>
        <v>7426.9500000000007</v>
      </c>
      <c r="G118" s="9">
        <f t="shared" ref="G118" si="1241">F118/$Z118</f>
        <v>-0.96445629335667271</v>
      </c>
      <c r="H118" s="7">
        <f t="shared" si="1239"/>
        <v>-16279.66</v>
      </c>
      <c r="I118" s="9">
        <f t="shared" ref="I118" si="1242">H118/$Z118</f>
        <v>2.1140603532684197</v>
      </c>
      <c r="J118" s="7">
        <f t="shared" si="1239"/>
        <v>12466.369999999999</v>
      </c>
      <c r="K118" s="9">
        <f t="shared" ref="K118" si="1243">J118/$Z118</f>
        <v>-1.6188703305950387</v>
      </c>
      <c r="L118" s="7">
        <f t="shared" si="1239"/>
        <v>1875.6299999999994</v>
      </c>
      <c r="M118" s="9">
        <f t="shared" ref="M118" si="1244">L118/$Z118</f>
        <v>-0.24356743447964177</v>
      </c>
      <c r="N118" s="7">
        <f t="shared" si="1239"/>
        <v>9968.369999999999</v>
      </c>
      <c r="O118" s="9">
        <f t="shared" ref="O118" si="1245">N118/$Z118</f>
        <v>-1.29448255084629</v>
      </c>
      <c r="P118" s="7">
        <f t="shared" si="1239"/>
        <v>-2296.8499999999995</v>
      </c>
      <c r="Q118" s="9">
        <f t="shared" ref="Q118" si="1246">P118/$Z118</f>
        <v>0.29826664208002923</v>
      </c>
      <c r="R118" s="7">
        <f t="shared" si="1239"/>
        <v>-7773.8300000000008</v>
      </c>
      <c r="S118" s="9">
        <f t="shared" ref="S118" si="1247">R118/$Z118</f>
        <v>1.0095017829640571</v>
      </c>
      <c r="T118" s="7">
        <f t="shared" si="1239"/>
        <v>-5839.6100000000006</v>
      </c>
      <c r="U118" s="9">
        <f t="shared" ref="U118" si="1248">T118/$Z118</f>
        <v>0.7583259097272177</v>
      </c>
      <c r="V118" s="7">
        <f t="shared" si="1239"/>
        <v>9546.5400000000027</v>
      </c>
      <c r="W118" s="9">
        <f t="shared" ref="W118" si="1249">V118/$Z118</f>
        <v>-1.2397041292564528</v>
      </c>
      <c r="X118" s="7">
        <f t="shared" si="1239"/>
        <v>-23477.48</v>
      </c>
      <c r="Y118" s="9">
        <f t="shared" ref="Y118" si="1250">X118/$Z118</f>
        <v>3.048762054161589</v>
      </c>
      <c r="Z118" s="7">
        <f>(((((((((((B118)+(D118))+(F118))+(H118))+(J118))+(L118))+(N118))+(P118))+(R118))+(T118))+(V118))+(X118)</f>
        <v>-7700.6600000000053</v>
      </c>
      <c r="AA118" s="10">
        <f t="shared" si="740"/>
        <v>1</v>
      </c>
    </row>
    <row r="119" spans="1:27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2" spans="1:27">
      <c r="A122" s="11" t="s">
        <v>125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</sheetData>
  <mergeCells count="4">
    <mergeCell ref="A122:Z122"/>
    <mergeCell ref="A1:Z1"/>
    <mergeCell ref="A2:Z2"/>
    <mergeCell ref="A3:Z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D9AF-82F2-463F-ACFA-B12C008A3553}">
  <dimension ref="A1:AA122"/>
  <sheetViews>
    <sheetView workbookViewId="0">
      <selection activeCell="C15" sqref="C15"/>
    </sheetView>
  </sheetViews>
  <sheetFormatPr defaultRowHeight="13.8"/>
  <cols>
    <col min="1" max="1" width="34.59765625" customWidth="1"/>
  </cols>
  <sheetData>
    <row r="1" spans="1:27" ht="17.399999999999999">
      <c r="A1" s="13" t="s">
        <v>126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ht="17.399999999999999">
      <c r="A2" s="13" t="s">
        <v>127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7">
      <c r="A3" s="14" t="s">
        <v>128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5" spans="1:27">
      <c r="A5" s="1"/>
      <c r="B5" s="2" t="s">
        <v>0</v>
      </c>
      <c r="C5" s="2" t="s">
        <v>0</v>
      </c>
      <c r="D5" s="2" t="s">
        <v>1</v>
      </c>
      <c r="E5" s="2" t="s">
        <v>1</v>
      </c>
      <c r="F5" s="8">
        <v>45352</v>
      </c>
      <c r="G5" s="8">
        <v>45352</v>
      </c>
      <c r="H5" s="2" t="s">
        <v>2</v>
      </c>
      <c r="I5" s="2" t="s">
        <v>2</v>
      </c>
      <c r="J5" s="2" t="s">
        <v>3</v>
      </c>
      <c r="K5" s="2" t="s">
        <v>3</v>
      </c>
      <c r="L5" s="2" t="s">
        <v>4</v>
      </c>
      <c r="M5" s="2" t="s">
        <v>4</v>
      </c>
      <c r="N5" s="2" t="s">
        <v>5</v>
      </c>
      <c r="O5" s="2" t="s">
        <v>5</v>
      </c>
      <c r="P5" s="2" t="s">
        <v>6</v>
      </c>
      <c r="Q5" s="2" t="s">
        <v>6</v>
      </c>
      <c r="R5" s="2" t="s">
        <v>7</v>
      </c>
      <c r="S5" s="2" t="s">
        <v>7</v>
      </c>
      <c r="T5" s="2" t="s">
        <v>8</v>
      </c>
      <c r="U5" s="2" t="s">
        <v>8</v>
      </c>
      <c r="V5" s="2" t="s">
        <v>9</v>
      </c>
      <c r="W5" s="2" t="s">
        <v>9</v>
      </c>
      <c r="X5" s="2" t="s">
        <v>10</v>
      </c>
      <c r="Y5" s="2" t="s">
        <v>10</v>
      </c>
      <c r="Z5" s="2" t="s">
        <v>11</v>
      </c>
    </row>
    <row r="6" spans="1:27">
      <c r="A6" s="3" t="s">
        <v>12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7">
      <c r="A7" s="3" t="s">
        <v>13</v>
      </c>
      <c r="B7" s="4"/>
      <c r="C7" s="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>
        <f t="shared" ref="Z7:Z70" si="0">(((((((((((B7)+(D7))+(F7))+(H7))+(J7))+(L7))+(N7))+(P7))+(R7))+(T7))+(V7))+(X7)</f>
        <v>0</v>
      </c>
    </row>
    <row r="8" spans="1:27">
      <c r="A8" s="3" t="s">
        <v>14</v>
      </c>
      <c r="B8" s="5">
        <f>110</f>
        <v>110</v>
      </c>
      <c r="C8" s="9">
        <f t="shared" ref="C8:Y23" si="1">B8/$Z8</f>
        <v>2.5345622119815669E-2</v>
      </c>
      <c r="D8" s="5">
        <f>220</f>
        <v>220</v>
      </c>
      <c r="E8" s="9">
        <f t="shared" si="1"/>
        <v>5.0691244239631339E-2</v>
      </c>
      <c r="F8" s="5">
        <f>385</f>
        <v>385</v>
      </c>
      <c r="G8" s="9">
        <f t="shared" si="1"/>
        <v>8.8709677419354843E-2</v>
      </c>
      <c r="H8" s="5">
        <f>605</f>
        <v>605</v>
      </c>
      <c r="I8" s="9">
        <f t="shared" si="1"/>
        <v>0.13940092165898618</v>
      </c>
      <c r="J8" s="5">
        <f>545</f>
        <v>545</v>
      </c>
      <c r="K8" s="9">
        <f t="shared" si="1"/>
        <v>0.12557603686635946</v>
      </c>
      <c r="L8" s="5">
        <f>495</f>
        <v>495</v>
      </c>
      <c r="M8" s="9">
        <f t="shared" si="1"/>
        <v>0.11405529953917051</v>
      </c>
      <c r="N8" s="5">
        <f>605</f>
        <v>605</v>
      </c>
      <c r="O8" s="9">
        <f t="shared" si="1"/>
        <v>0.13940092165898618</v>
      </c>
      <c r="P8" s="5">
        <f>220</f>
        <v>220</v>
      </c>
      <c r="Q8" s="9">
        <f t="shared" si="1"/>
        <v>5.0691244239631339E-2</v>
      </c>
      <c r="R8" s="5">
        <f>220</f>
        <v>220</v>
      </c>
      <c r="S8" s="9">
        <f t="shared" si="1"/>
        <v>5.0691244239631339E-2</v>
      </c>
      <c r="T8" s="5">
        <f>385</f>
        <v>385</v>
      </c>
      <c r="U8" s="9">
        <f t="shared" si="1"/>
        <v>8.8709677419354843E-2</v>
      </c>
      <c r="V8" s="5">
        <f>55</f>
        <v>55</v>
      </c>
      <c r="W8" s="9">
        <f t="shared" si="1"/>
        <v>1.2672811059907835E-2</v>
      </c>
      <c r="X8" s="5">
        <f>495</f>
        <v>495</v>
      </c>
      <c r="Y8" s="9">
        <f t="shared" si="1"/>
        <v>0.11405529953917051</v>
      </c>
      <c r="Z8" s="5">
        <f t="shared" si="0"/>
        <v>4340</v>
      </c>
      <c r="AA8" s="10">
        <f>C8+E8+G8+I8+K8+M8+O8+Q8+S8+U8+W8+Y8</f>
        <v>1</v>
      </c>
    </row>
    <row r="9" spans="1:27">
      <c r="A9" s="3" t="s">
        <v>15</v>
      </c>
      <c r="B9" s="5">
        <f>5813.5</f>
        <v>5813.5</v>
      </c>
      <c r="C9" s="9">
        <f t="shared" si="1"/>
        <v>7.5559368074916006E-2</v>
      </c>
      <c r="D9" s="5">
        <f>4752</f>
        <v>4752</v>
      </c>
      <c r="E9" s="9">
        <f t="shared" si="1"/>
        <v>6.1762813639288011E-2</v>
      </c>
      <c r="F9" s="5">
        <f>5577</f>
        <v>5577</v>
      </c>
      <c r="G9" s="9">
        <f t="shared" si="1"/>
        <v>7.248552434055329E-2</v>
      </c>
      <c r="H9" s="5">
        <f>6155.75</f>
        <v>6155.75</v>
      </c>
      <c r="I9" s="9">
        <f t="shared" si="1"/>
        <v>8.000766836280454E-2</v>
      </c>
      <c r="J9" s="5">
        <f>9190.5</f>
        <v>9190.5</v>
      </c>
      <c r="K9" s="9">
        <f t="shared" si="1"/>
        <v>0.11945099721209522</v>
      </c>
      <c r="L9" s="5">
        <f>4512</f>
        <v>4512</v>
      </c>
      <c r="M9" s="9">
        <f t="shared" si="1"/>
        <v>5.864347961710175E-2</v>
      </c>
      <c r="N9" s="5">
        <f>8866</f>
        <v>8866</v>
      </c>
      <c r="O9" s="9">
        <f t="shared" si="1"/>
        <v>0.11523339766959755</v>
      </c>
      <c r="P9" s="5">
        <f>5365.25</f>
        <v>5365.25</v>
      </c>
      <c r="Q9" s="9">
        <f t="shared" si="1"/>
        <v>6.9733361927228538E-2</v>
      </c>
      <c r="R9" s="5">
        <f>3157</f>
        <v>3157</v>
      </c>
      <c r="S9" s="9">
        <f t="shared" si="1"/>
        <v>4.1032239616841805E-2</v>
      </c>
      <c r="T9" s="5">
        <f>5852</f>
        <v>5852</v>
      </c>
      <c r="U9" s="9">
        <f t="shared" si="1"/>
        <v>7.6059761240975049E-2</v>
      </c>
      <c r="V9" s="5">
        <f>10521</f>
        <v>10521</v>
      </c>
      <c r="W9" s="9">
        <f t="shared" si="1"/>
        <v>0.1367438051975903</v>
      </c>
      <c r="X9" s="5">
        <f>7177.5</f>
        <v>7177.5</v>
      </c>
      <c r="Y9" s="9">
        <f t="shared" si="1"/>
        <v>9.3287583101007931E-2</v>
      </c>
      <c r="Z9" s="5">
        <f t="shared" si="0"/>
        <v>76939.5</v>
      </c>
      <c r="AA9" s="10">
        <f t="shared" ref="AA9:AA72" si="2">C9+E9+G9+I9+K9+M9+O9+Q9+S9+U9+W9+Y9</f>
        <v>1</v>
      </c>
    </row>
    <row r="10" spans="1:27">
      <c r="A10" s="3" t="s">
        <v>16</v>
      </c>
      <c r="B10" s="5">
        <f>784</f>
        <v>784</v>
      </c>
      <c r="C10" s="9">
        <f t="shared" si="1"/>
        <v>2.8286910088035792E-2</v>
      </c>
      <c r="D10" s="5">
        <f>2046</f>
        <v>2046</v>
      </c>
      <c r="E10" s="9">
        <f t="shared" si="1"/>
        <v>7.3820176071583199E-2</v>
      </c>
      <c r="F10" s="5">
        <f>1996.5</f>
        <v>1996.5</v>
      </c>
      <c r="G10" s="9">
        <f t="shared" si="1"/>
        <v>7.2034204069851351E-2</v>
      </c>
      <c r="H10" s="5">
        <f>3333</f>
        <v>3333</v>
      </c>
      <c r="I10" s="9">
        <f t="shared" si="1"/>
        <v>0.12025544811661135</v>
      </c>
      <c r="J10" s="5">
        <f>3177.5</f>
        <v>3177.5</v>
      </c>
      <c r="K10" s="9">
        <f t="shared" si="1"/>
        <v>0.11464497041420119</v>
      </c>
      <c r="L10" s="5">
        <f>3564</f>
        <v>3564</v>
      </c>
      <c r="M10" s="9">
        <f t="shared" si="1"/>
        <v>0.12858998412469333</v>
      </c>
      <c r="N10" s="5">
        <f>3113</f>
        <v>3113</v>
      </c>
      <c r="O10" s="9">
        <f t="shared" si="1"/>
        <v>0.11231779477558089</v>
      </c>
      <c r="P10" s="5">
        <f>1078</f>
        <v>1078</v>
      </c>
      <c r="Q10" s="9">
        <f t="shared" si="1"/>
        <v>3.889450137104921E-2</v>
      </c>
      <c r="R10" s="5">
        <f>902</f>
        <v>902</v>
      </c>
      <c r="S10" s="9">
        <f t="shared" si="1"/>
        <v>3.2544378698224852E-2</v>
      </c>
      <c r="T10" s="5">
        <f>3091</f>
        <v>3091</v>
      </c>
      <c r="U10" s="9">
        <f t="shared" si="1"/>
        <v>0.11152402944147785</v>
      </c>
      <c r="V10" s="5">
        <f>269.5</f>
        <v>269.5</v>
      </c>
      <c r="W10" s="9">
        <f t="shared" si="1"/>
        <v>9.7236253427623025E-3</v>
      </c>
      <c r="X10" s="5">
        <f>4361.5</f>
        <v>4361.5</v>
      </c>
      <c r="Y10" s="9">
        <f t="shared" si="1"/>
        <v>0.1573639774859287</v>
      </c>
      <c r="Z10" s="5">
        <f t="shared" si="0"/>
        <v>27716</v>
      </c>
      <c r="AA10" s="10">
        <f t="shared" si="2"/>
        <v>1</v>
      </c>
    </row>
    <row r="11" spans="1:27">
      <c r="A11" s="3" t="s">
        <v>17</v>
      </c>
      <c r="B11" s="6">
        <f t="shared" ref="B11:X11" si="3">(((B7)+(B8))+(B9))+(B10)</f>
        <v>6707.5</v>
      </c>
      <c r="C11" s="9">
        <f t="shared" si="1"/>
        <v>6.1539237858443695E-2</v>
      </c>
      <c r="D11" s="6">
        <f t="shared" si="3"/>
        <v>7018</v>
      </c>
      <c r="E11" s="9">
        <f t="shared" si="1"/>
        <v>6.438797932024716E-2</v>
      </c>
      <c r="F11" s="6">
        <f t="shared" si="3"/>
        <v>7958.5</v>
      </c>
      <c r="G11" s="9">
        <f t="shared" si="1"/>
        <v>7.3016775921941737E-2</v>
      </c>
      <c r="H11" s="6">
        <f t="shared" si="3"/>
        <v>10093.75</v>
      </c>
      <c r="I11" s="9">
        <f t="shared" si="1"/>
        <v>9.2607034235358335E-2</v>
      </c>
      <c r="J11" s="6">
        <f t="shared" si="3"/>
        <v>12913</v>
      </c>
      <c r="K11" s="9">
        <f t="shared" si="1"/>
        <v>0.118472780986371</v>
      </c>
      <c r="L11" s="6">
        <f t="shared" si="3"/>
        <v>8571</v>
      </c>
      <c r="M11" s="9">
        <f t="shared" si="1"/>
        <v>7.8636273974613632E-2</v>
      </c>
      <c r="N11" s="6">
        <f t="shared" si="3"/>
        <v>12584</v>
      </c>
      <c r="O11" s="9">
        <f t="shared" si="1"/>
        <v>0.11545430774665009</v>
      </c>
      <c r="P11" s="6">
        <f t="shared" si="3"/>
        <v>6663.25</v>
      </c>
      <c r="Q11" s="9">
        <f t="shared" si="1"/>
        <v>6.1133257795046587E-2</v>
      </c>
      <c r="R11" s="6">
        <f t="shared" si="3"/>
        <v>4279</v>
      </c>
      <c r="S11" s="9">
        <f t="shared" si="1"/>
        <v>3.9258501497768258E-2</v>
      </c>
      <c r="T11" s="6">
        <f t="shared" si="3"/>
        <v>9328</v>
      </c>
      <c r="U11" s="9">
        <f t="shared" si="1"/>
        <v>8.5581514833181188E-2</v>
      </c>
      <c r="V11" s="6">
        <f t="shared" si="3"/>
        <v>10845.5</v>
      </c>
      <c r="W11" s="9">
        <f t="shared" si="1"/>
        <v>9.950410796776013E-2</v>
      </c>
      <c r="X11" s="6">
        <f t="shared" si="3"/>
        <v>12034</v>
      </c>
      <c r="Y11" s="9">
        <f t="shared" si="1"/>
        <v>0.11040822786261818</v>
      </c>
      <c r="Z11" s="6">
        <f t="shared" si="0"/>
        <v>108995.5</v>
      </c>
      <c r="AA11" s="10">
        <f t="shared" si="2"/>
        <v>1</v>
      </c>
    </row>
    <row r="12" spans="1:27">
      <c r="A12" s="3" t="s">
        <v>18</v>
      </c>
      <c r="B12" s="4"/>
      <c r="C12" s="9" t="e">
        <f t="shared" si="1"/>
        <v>#DIV/0!</v>
      </c>
      <c r="D12" s="4"/>
      <c r="E12" s="9" t="e">
        <f t="shared" si="1"/>
        <v>#DIV/0!</v>
      </c>
      <c r="F12" s="4"/>
      <c r="G12" s="9" t="e">
        <f t="shared" si="1"/>
        <v>#DIV/0!</v>
      </c>
      <c r="H12" s="4"/>
      <c r="I12" s="9" t="e">
        <f t="shared" si="1"/>
        <v>#DIV/0!</v>
      </c>
      <c r="J12" s="4"/>
      <c r="K12" s="9" t="e">
        <f t="shared" si="1"/>
        <v>#DIV/0!</v>
      </c>
      <c r="L12" s="4"/>
      <c r="M12" s="9" t="e">
        <f t="shared" si="1"/>
        <v>#DIV/0!</v>
      </c>
      <c r="N12" s="4"/>
      <c r="O12" s="9" t="e">
        <f t="shared" si="1"/>
        <v>#DIV/0!</v>
      </c>
      <c r="P12" s="4"/>
      <c r="Q12" s="9" t="e">
        <f t="shared" si="1"/>
        <v>#DIV/0!</v>
      </c>
      <c r="R12" s="4"/>
      <c r="S12" s="9" t="e">
        <f t="shared" si="1"/>
        <v>#DIV/0!</v>
      </c>
      <c r="T12" s="4"/>
      <c r="U12" s="9" t="e">
        <f t="shared" si="1"/>
        <v>#DIV/0!</v>
      </c>
      <c r="V12" s="4"/>
      <c r="W12" s="9" t="e">
        <f t="shared" si="1"/>
        <v>#DIV/0!</v>
      </c>
      <c r="X12" s="4"/>
      <c r="Y12" s="9" t="e">
        <f t="shared" si="1"/>
        <v>#DIV/0!</v>
      </c>
      <c r="Z12" s="5">
        <f t="shared" si="0"/>
        <v>0</v>
      </c>
      <c r="AA12" s="10" t="e">
        <f t="shared" si="2"/>
        <v>#DIV/0!</v>
      </c>
    </row>
    <row r="13" spans="1:27">
      <c r="A13" s="3" t="s">
        <v>19</v>
      </c>
      <c r="B13" s="4"/>
      <c r="C13" s="9" t="e">
        <f t="shared" si="1"/>
        <v>#DIV/0!</v>
      </c>
      <c r="D13" s="4"/>
      <c r="E13" s="9" t="e">
        <f t="shared" si="1"/>
        <v>#DIV/0!</v>
      </c>
      <c r="F13" s="4"/>
      <c r="G13" s="9" t="e">
        <f t="shared" si="1"/>
        <v>#DIV/0!</v>
      </c>
      <c r="H13" s="4"/>
      <c r="I13" s="9" t="e">
        <f t="shared" si="1"/>
        <v>#DIV/0!</v>
      </c>
      <c r="J13" s="4"/>
      <c r="K13" s="9" t="e">
        <f t="shared" si="1"/>
        <v>#DIV/0!</v>
      </c>
      <c r="L13" s="4"/>
      <c r="M13" s="9" t="e">
        <f t="shared" si="1"/>
        <v>#DIV/0!</v>
      </c>
      <c r="N13" s="4"/>
      <c r="O13" s="9" t="e">
        <f t="shared" si="1"/>
        <v>#DIV/0!</v>
      </c>
      <c r="P13" s="4"/>
      <c r="Q13" s="9" t="e">
        <f t="shared" si="1"/>
        <v>#DIV/0!</v>
      </c>
      <c r="R13" s="4"/>
      <c r="S13" s="9" t="e">
        <f t="shared" si="1"/>
        <v>#DIV/0!</v>
      </c>
      <c r="T13" s="4"/>
      <c r="U13" s="9" t="e">
        <f t="shared" si="1"/>
        <v>#DIV/0!</v>
      </c>
      <c r="V13" s="4"/>
      <c r="W13" s="9" t="e">
        <f t="shared" si="1"/>
        <v>#DIV/0!</v>
      </c>
      <c r="X13" s="4"/>
      <c r="Y13" s="9" t="e">
        <f t="shared" si="1"/>
        <v>#DIV/0!</v>
      </c>
      <c r="Z13" s="5">
        <f t="shared" si="0"/>
        <v>0</v>
      </c>
      <c r="AA13" s="10" t="e">
        <f t="shared" si="2"/>
        <v>#DIV/0!</v>
      </c>
    </row>
    <row r="14" spans="1:27">
      <c r="A14" s="3" t="s">
        <v>20</v>
      </c>
      <c r="B14" s="5">
        <f>4950</f>
        <v>4950</v>
      </c>
      <c r="C14" s="9">
        <f t="shared" si="1"/>
        <v>0.19760479041916168</v>
      </c>
      <c r="D14" s="5">
        <f>2250</f>
        <v>2250</v>
      </c>
      <c r="E14" s="9">
        <f t="shared" si="1"/>
        <v>8.9820359281437126E-2</v>
      </c>
      <c r="F14" s="5">
        <f>10975</f>
        <v>10975</v>
      </c>
      <c r="G14" s="9">
        <f t="shared" si="1"/>
        <v>0.43812375249500995</v>
      </c>
      <c r="H14" s="5">
        <f>3587.5</f>
        <v>3587.5</v>
      </c>
      <c r="I14" s="9">
        <f t="shared" si="1"/>
        <v>0.14321357285429143</v>
      </c>
      <c r="J14" s="5">
        <f>2187.5</f>
        <v>2187.5</v>
      </c>
      <c r="K14" s="9">
        <f t="shared" si="1"/>
        <v>8.7325349301397209E-2</v>
      </c>
      <c r="L14" s="5">
        <f>550</f>
        <v>550</v>
      </c>
      <c r="M14" s="9">
        <f t="shared" si="1"/>
        <v>2.1956087824351298E-2</v>
      </c>
      <c r="N14" s="5">
        <f>550</f>
        <v>550</v>
      </c>
      <c r="O14" s="9">
        <f t="shared" si="1"/>
        <v>2.1956087824351298E-2</v>
      </c>
      <c r="P14" s="4"/>
      <c r="Q14" s="9">
        <f t="shared" si="1"/>
        <v>0</v>
      </c>
      <c r="R14" s="4"/>
      <c r="S14" s="9">
        <f t="shared" si="1"/>
        <v>0</v>
      </c>
      <c r="T14" s="4"/>
      <c r="U14" s="9">
        <f t="shared" si="1"/>
        <v>0</v>
      </c>
      <c r="V14" s="4"/>
      <c r="W14" s="9">
        <f t="shared" si="1"/>
        <v>0</v>
      </c>
      <c r="X14" s="4"/>
      <c r="Y14" s="9">
        <f t="shared" si="1"/>
        <v>0</v>
      </c>
      <c r="Z14" s="5">
        <f t="shared" si="0"/>
        <v>25050</v>
      </c>
      <c r="AA14" s="10">
        <f t="shared" si="2"/>
        <v>1</v>
      </c>
    </row>
    <row r="15" spans="1:27">
      <c r="A15" s="3" t="s">
        <v>21</v>
      </c>
      <c r="B15" s="4"/>
      <c r="C15" s="9">
        <f t="shared" si="1"/>
        <v>0</v>
      </c>
      <c r="D15" s="4"/>
      <c r="E15" s="9">
        <f t="shared" si="1"/>
        <v>0</v>
      </c>
      <c r="F15" s="5">
        <f>650</f>
        <v>650</v>
      </c>
      <c r="G15" s="9">
        <f t="shared" si="1"/>
        <v>0.44827586206896552</v>
      </c>
      <c r="H15" s="5">
        <f>650</f>
        <v>650</v>
      </c>
      <c r="I15" s="9">
        <f t="shared" si="1"/>
        <v>0.44827586206896552</v>
      </c>
      <c r="J15" s="4"/>
      <c r="K15" s="9">
        <f t="shared" si="1"/>
        <v>0</v>
      </c>
      <c r="L15" s="5">
        <f>100</f>
        <v>100</v>
      </c>
      <c r="M15" s="9">
        <f t="shared" si="1"/>
        <v>6.8965517241379309E-2</v>
      </c>
      <c r="N15" s="4"/>
      <c r="O15" s="9">
        <f t="shared" si="1"/>
        <v>0</v>
      </c>
      <c r="P15" s="4"/>
      <c r="Q15" s="9">
        <f t="shared" si="1"/>
        <v>0</v>
      </c>
      <c r="R15" s="4"/>
      <c r="S15" s="9">
        <f t="shared" si="1"/>
        <v>0</v>
      </c>
      <c r="T15" s="4"/>
      <c r="U15" s="9">
        <f t="shared" si="1"/>
        <v>0</v>
      </c>
      <c r="V15" s="4"/>
      <c r="W15" s="9">
        <f t="shared" si="1"/>
        <v>0</v>
      </c>
      <c r="X15" s="5">
        <f>50</f>
        <v>50</v>
      </c>
      <c r="Y15" s="9">
        <f t="shared" si="1"/>
        <v>3.4482758620689655E-2</v>
      </c>
      <c r="Z15" s="5">
        <f t="shared" si="0"/>
        <v>1450</v>
      </c>
      <c r="AA15" s="10">
        <f t="shared" si="2"/>
        <v>1</v>
      </c>
    </row>
    <row r="16" spans="1:27">
      <c r="A16" s="3" t="s">
        <v>22</v>
      </c>
      <c r="B16" s="4"/>
      <c r="C16" s="9">
        <f t="shared" si="1"/>
        <v>0</v>
      </c>
      <c r="D16" s="4"/>
      <c r="E16" s="9">
        <f t="shared" si="1"/>
        <v>0</v>
      </c>
      <c r="F16" s="5">
        <f>-5342.32</f>
        <v>-5342.32</v>
      </c>
      <c r="G16" s="9">
        <f t="shared" si="1"/>
        <v>0.21545157429125436</v>
      </c>
      <c r="H16" s="5">
        <f>-12891.1</f>
        <v>-12891.1</v>
      </c>
      <c r="I16" s="9">
        <f t="shared" si="1"/>
        <v>0.51988794930778937</v>
      </c>
      <c r="J16" s="5">
        <f>-4375</f>
        <v>-4375</v>
      </c>
      <c r="K16" s="9">
        <f t="shared" si="1"/>
        <v>0.17644031760063753</v>
      </c>
      <c r="L16" s="5">
        <f>-2187.5</f>
        <v>-2187.5</v>
      </c>
      <c r="M16" s="9">
        <f t="shared" si="1"/>
        <v>8.8220158800318763E-2</v>
      </c>
      <c r="N16" s="4"/>
      <c r="O16" s="9">
        <f t="shared" si="1"/>
        <v>0</v>
      </c>
      <c r="P16" s="4"/>
      <c r="Q16" s="9">
        <f t="shared" si="1"/>
        <v>0</v>
      </c>
      <c r="R16" s="4"/>
      <c r="S16" s="9">
        <f t="shared" si="1"/>
        <v>0</v>
      </c>
      <c r="T16" s="4"/>
      <c r="U16" s="9">
        <f t="shared" si="1"/>
        <v>0</v>
      </c>
      <c r="V16" s="4"/>
      <c r="W16" s="9">
        <f t="shared" si="1"/>
        <v>0</v>
      </c>
      <c r="X16" s="4"/>
      <c r="Y16" s="9">
        <f t="shared" si="1"/>
        <v>0</v>
      </c>
      <c r="Z16" s="5">
        <f t="shared" si="0"/>
        <v>-24795.919999999998</v>
      </c>
      <c r="AA16" s="10">
        <f t="shared" si="2"/>
        <v>1</v>
      </c>
    </row>
    <row r="17" spans="1:27">
      <c r="A17" s="3" t="s">
        <v>23</v>
      </c>
      <c r="B17" s="6">
        <f t="shared" ref="B17:X17" si="4">(((B13)+(B14))+(B15))+(B16)</f>
        <v>4950</v>
      </c>
      <c r="C17" s="9">
        <f t="shared" si="1"/>
        <v>2.9047932021970801</v>
      </c>
      <c r="D17" s="6">
        <f t="shared" si="4"/>
        <v>2250</v>
      </c>
      <c r="E17" s="9">
        <f t="shared" si="1"/>
        <v>1.3203605464532182</v>
      </c>
      <c r="F17" s="6">
        <f t="shared" si="4"/>
        <v>6282.68</v>
      </c>
      <c r="G17" s="9">
        <f t="shared" si="1"/>
        <v>3.6868456879958691</v>
      </c>
      <c r="H17" s="6">
        <f t="shared" si="4"/>
        <v>-8653.6</v>
      </c>
      <c r="I17" s="9">
        <f t="shared" si="1"/>
        <v>-5.0781653443500305</v>
      </c>
      <c r="J17" s="6">
        <f t="shared" si="4"/>
        <v>-2187.5</v>
      </c>
      <c r="K17" s="9">
        <f t="shared" si="1"/>
        <v>-1.2836838646072954</v>
      </c>
      <c r="L17" s="6">
        <f t="shared" si="4"/>
        <v>-1537.5</v>
      </c>
      <c r="M17" s="9">
        <f t="shared" si="1"/>
        <v>-0.90224637340969915</v>
      </c>
      <c r="N17" s="6">
        <f t="shared" si="4"/>
        <v>550</v>
      </c>
      <c r="O17" s="9">
        <f t="shared" si="1"/>
        <v>0.32275480024412001</v>
      </c>
      <c r="P17" s="6">
        <f t="shared" si="4"/>
        <v>0</v>
      </c>
      <c r="Q17" s="9">
        <f t="shared" si="1"/>
        <v>0</v>
      </c>
      <c r="R17" s="6">
        <f t="shared" si="4"/>
        <v>0</v>
      </c>
      <c r="S17" s="9">
        <f t="shared" si="1"/>
        <v>0</v>
      </c>
      <c r="T17" s="6">
        <f t="shared" si="4"/>
        <v>0</v>
      </c>
      <c r="U17" s="9">
        <f t="shared" si="1"/>
        <v>0</v>
      </c>
      <c r="V17" s="6">
        <f t="shared" si="4"/>
        <v>0</v>
      </c>
      <c r="W17" s="9">
        <f t="shared" si="1"/>
        <v>0</v>
      </c>
      <c r="X17" s="6">
        <f t="shared" si="4"/>
        <v>50</v>
      </c>
      <c r="Y17" s="9">
        <f t="shared" si="1"/>
        <v>2.9341345476738181E-2</v>
      </c>
      <c r="Z17" s="6">
        <f t="shared" si="0"/>
        <v>1704.08</v>
      </c>
      <c r="AA17" s="10">
        <f t="shared" si="2"/>
        <v>1</v>
      </c>
    </row>
    <row r="18" spans="1:27">
      <c r="A18" s="3" t="s">
        <v>24</v>
      </c>
      <c r="B18" s="4"/>
      <c r="C18" s="9" t="e">
        <f t="shared" si="1"/>
        <v>#DIV/0!</v>
      </c>
      <c r="D18" s="4"/>
      <c r="E18" s="9" t="e">
        <f t="shared" si="1"/>
        <v>#DIV/0!</v>
      </c>
      <c r="F18" s="4"/>
      <c r="G18" s="9" t="e">
        <f t="shared" si="1"/>
        <v>#DIV/0!</v>
      </c>
      <c r="H18" s="4"/>
      <c r="I18" s="9" t="e">
        <f t="shared" si="1"/>
        <v>#DIV/0!</v>
      </c>
      <c r="J18" s="4"/>
      <c r="K18" s="9" t="e">
        <f t="shared" si="1"/>
        <v>#DIV/0!</v>
      </c>
      <c r="L18" s="4"/>
      <c r="M18" s="9" t="e">
        <f t="shared" si="1"/>
        <v>#DIV/0!</v>
      </c>
      <c r="N18" s="4"/>
      <c r="O18" s="9" t="e">
        <f t="shared" si="1"/>
        <v>#DIV/0!</v>
      </c>
      <c r="P18" s="4"/>
      <c r="Q18" s="9" t="e">
        <f t="shared" si="1"/>
        <v>#DIV/0!</v>
      </c>
      <c r="R18" s="4"/>
      <c r="S18" s="9" t="e">
        <f t="shared" si="1"/>
        <v>#DIV/0!</v>
      </c>
      <c r="T18" s="4"/>
      <c r="U18" s="9" t="e">
        <f t="shared" si="1"/>
        <v>#DIV/0!</v>
      </c>
      <c r="V18" s="4"/>
      <c r="W18" s="9" t="e">
        <f t="shared" si="1"/>
        <v>#DIV/0!</v>
      </c>
      <c r="X18" s="4"/>
      <c r="Y18" s="9" t="e">
        <f t="shared" si="1"/>
        <v>#DIV/0!</v>
      </c>
      <c r="Z18" s="5">
        <f t="shared" si="0"/>
        <v>0</v>
      </c>
      <c r="AA18" s="10" t="e">
        <f t="shared" si="2"/>
        <v>#DIV/0!</v>
      </c>
    </row>
    <row r="19" spans="1:27">
      <c r="A19" s="3" t="s">
        <v>25</v>
      </c>
      <c r="B19" s="4"/>
      <c r="C19" s="9">
        <f t="shared" si="1"/>
        <v>0</v>
      </c>
      <c r="D19" s="4"/>
      <c r="E19" s="9">
        <f t="shared" si="1"/>
        <v>0</v>
      </c>
      <c r="F19" s="4"/>
      <c r="G19" s="9">
        <f t="shared" si="1"/>
        <v>0</v>
      </c>
      <c r="H19" s="4"/>
      <c r="I19" s="9">
        <f t="shared" si="1"/>
        <v>0</v>
      </c>
      <c r="J19" s="5">
        <f>13925</f>
        <v>13925</v>
      </c>
      <c r="K19" s="9">
        <f t="shared" si="1"/>
        <v>0.47089704110956532</v>
      </c>
      <c r="L19" s="5">
        <f>3750</f>
        <v>3750</v>
      </c>
      <c r="M19" s="9">
        <f t="shared" si="1"/>
        <v>0.12681248862914685</v>
      </c>
      <c r="N19" s="5">
        <f>6625</f>
        <v>6625</v>
      </c>
      <c r="O19" s="9">
        <f t="shared" si="1"/>
        <v>0.22403539657815943</v>
      </c>
      <c r="P19" s="5">
        <f>3150</f>
        <v>3150</v>
      </c>
      <c r="Q19" s="9">
        <f t="shared" si="1"/>
        <v>0.10652249044848336</v>
      </c>
      <c r="R19" s="5">
        <f>1946.22</f>
        <v>1946.22</v>
      </c>
      <c r="S19" s="9">
        <f t="shared" si="1"/>
        <v>6.5814667098618176E-2</v>
      </c>
      <c r="T19" s="5">
        <f>175</f>
        <v>175</v>
      </c>
      <c r="U19" s="9">
        <f t="shared" si="1"/>
        <v>5.9179161360268526E-3</v>
      </c>
      <c r="V19" s="4"/>
      <c r="W19" s="9">
        <f t="shared" si="1"/>
        <v>0</v>
      </c>
      <c r="X19" s="4"/>
      <c r="Y19" s="9">
        <f t="shared" si="1"/>
        <v>0</v>
      </c>
      <c r="Z19" s="5">
        <f t="shared" si="0"/>
        <v>29571.22</v>
      </c>
      <c r="AA19" s="10">
        <f t="shared" si="2"/>
        <v>1</v>
      </c>
    </row>
    <row r="20" spans="1:27">
      <c r="A20" s="3" t="s">
        <v>26</v>
      </c>
      <c r="B20" s="4"/>
      <c r="C20" s="9">
        <f t="shared" si="1"/>
        <v>0</v>
      </c>
      <c r="D20" s="4"/>
      <c r="E20" s="9">
        <f t="shared" si="1"/>
        <v>0</v>
      </c>
      <c r="F20" s="4"/>
      <c r="G20" s="9">
        <f t="shared" si="1"/>
        <v>0</v>
      </c>
      <c r="H20" s="4"/>
      <c r="I20" s="9">
        <f t="shared" si="1"/>
        <v>0</v>
      </c>
      <c r="J20" s="5">
        <f>-100</f>
        <v>-100</v>
      </c>
      <c r="K20" s="9">
        <f t="shared" si="1"/>
        <v>2.1044789625760507E-2</v>
      </c>
      <c r="L20" s="4"/>
      <c r="M20" s="9">
        <f t="shared" si="1"/>
        <v>0</v>
      </c>
      <c r="N20" s="5">
        <f>-15.78</f>
        <v>-15.78</v>
      </c>
      <c r="O20" s="9">
        <f t="shared" si="1"/>
        <v>3.3208678029450081E-3</v>
      </c>
      <c r="P20" s="4"/>
      <c r="Q20" s="9">
        <f t="shared" si="1"/>
        <v>0</v>
      </c>
      <c r="R20" s="5">
        <f>-85</f>
        <v>-85</v>
      </c>
      <c r="S20" s="9">
        <f t="shared" si="1"/>
        <v>1.788807118189643E-2</v>
      </c>
      <c r="T20" s="5">
        <f>-4550.99</f>
        <v>-4550.99</v>
      </c>
      <c r="U20" s="9">
        <f t="shared" si="1"/>
        <v>0.95774627138939805</v>
      </c>
      <c r="V20" s="4"/>
      <c r="W20" s="9">
        <f t="shared" si="1"/>
        <v>0</v>
      </c>
      <c r="X20" s="4"/>
      <c r="Y20" s="9">
        <f t="shared" si="1"/>
        <v>0</v>
      </c>
      <c r="Z20" s="5">
        <f t="shared" si="0"/>
        <v>-4751.7699999999995</v>
      </c>
      <c r="AA20" s="10">
        <f t="shared" si="2"/>
        <v>1</v>
      </c>
    </row>
    <row r="21" spans="1:27">
      <c r="A21" s="3" t="s">
        <v>27</v>
      </c>
      <c r="B21" s="6">
        <f t="shared" ref="B21:X21" si="5">((B18)+(B19))+(B20)</f>
        <v>0</v>
      </c>
      <c r="C21" s="9">
        <f t="shared" si="1"/>
        <v>0</v>
      </c>
      <c r="D21" s="6">
        <f t="shared" si="5"/>
        <v>0</v>
      </c>
      <c r="E21" s="9">
        <f t="shared" si="1"/>
        <v>0</v>
      </c>
      <c r="F21" s="6">
        <f t="shared" si="5"/>
        <v>0</v>
      </c>
      <c r="G21" s="9">
        <f t="shared" si="1"/>
        <v>0</v>
      </c>
      <c r="H21" s="6">
        <f t="shared" si="5"/>
        <v>0</v>
      </c>
      <c r="I21" s="9">
        <f t="shared" si="1"/>
        <v>0</v>
      </c>
      <c r="J21" s="6">
        <f t="shared" si="5"/>
        <v>13825</v>
      </c>
      <c r="K21" s="9">
        <f t="shared" si="1"/>
        <v>0.55702281879735438</v>
      </c>
      <c r="L21" s="6">
        <f t="shared" si="5"/>
        <v>3750</v>
      </c>
      <c r="M21" s="9">
        <f t="shared" si="1"/>
        <v>0.15109118050561149</v>
      </c>
      <c r="N21" s="6">
        <f t="shared" si="5"/>
        <v>6609.22</v>
      </c>
      <c r="O21" s="9">
        <f t="shared" si="1"/>
        <v>0.26629196053901272</v>
      </c>
      <c r="P21" s="6">
        <f t="shared" si="5"/>
        <v>3150</v>
      </c>
      <c r="Q21" s="9">
        <f t="shared" si="1"/>
        <v>0.12691659162471366</v>
      </c>
      <c r="R21" s="6">
        <f t="shared" si="5"/>
        <v>1861.22</v>
      </c>
      <c r="S21" s="9">
        <f t="shared" si="1"/>
        <v>7.4990380528174458E-2</v>
      </c>
      <c r="T21" s="6">
        <f t="shared" si="5"/>
        <v>-4375.99</v>
      </c>
      <c r="U21" s="9">
        <f t="shared" si="1"/>
        <v>-0.17631293199486689</v>
      </c>
      <c r="V21" s="6">
        <f t="shared" si="5"/>
        <v>0</v>
      </c>
      <c r="W21" s="9">
        <f t="shared" si="1"/>
        <v>0</v>
      </c>
      <c r="X21" s="6">
        <f t="shared" si="5"/>
        <v>0</v>
      </c>
      <c r="Y21" s="9">
        <f t="shared" si="1"/>
        <v>0</v>
      </c>
      <c r="Z21" s="6">
        <f t="shared" si="0"/>
        <v>24819.450000000004</v>
      </c>
      <c r="AA21" s="10">
        <f t="shared" si="2"/>
        <v>0.99999999999999978</v>
      </c>
    </row>
    <row r="22" spans="1:27">
      <c r="A22" s="3" t="s">
        <v>28</v>
      </c>
      <c r="B22" s="4"/>
      <c r="C22" s="9" t="e">
        <f t="shared" si="1"/>
        <v>#DIV/0!</v>
      </c>
      <c r="D22" s="4"/>
      <c r="E22" s="9" t="e">
        <f t="shared" si="1"/>
        <v>#DIV/0!</v>
      </c>
      <c r="F22" s="4"/>
      <c r="G22" s="9" t="e">
        <f t="shared" si="1"/>
        <v>#DIV/0!</v>
      </c>
      <c r="H22" s="4"/>
      <c r="I22" s="9" t="e">
        <f t="shared" si="1"/>
        <v>#DIV/0!</v>
      </c>
      <c r="J22" s="4"/>
      <c r="K22" s="9" t="e">
        <f t="shared" si="1"/>
        <v>#DIV/0!</v>
      </c>
      <c r="L22" s="4"/>
      <c r="M22" s="9" t="e">
        <f t="shared" si="1"/>
        <v>#DIV/0!</v>
      </c>
      <c r="N22" s="4"/>
      <c r="O22" s="9" t="e">
        <f t="shared" si="1"/>
        <v>#DIV/0!</v>
      </c>
      <c r="P22" s="4"/>
      <c r="Q22" s="9" t="e">
        <f t="shared" si="1"/>
        <v>#DIV/0!</v>
      </c>
      <c r="R22" s="4"/>
      <c r="S22" s="9" t="e">
        <f t="shared" si="1"/>
        <v>#DIV/0!</v>
      </c>
      <c r="T22" s="4"/>
      <c r="U22" s="9" t="e">
        <f t="shared" si="1"/>
        <v>#DIV/0!</v>
      </c>
      <c r="V22" s="4"/>
      <c r="W22" s="9" t="e">
        <f t="shared" si="1"/>
        <v>#DIV/0!</v>
      </c>
      <c r="X22" s="4"/>
      <c r="Y22" s="9" t="e">
        <f t="shared" si="1"/>
        <v>#DIV/0!</v>
      </c>
      <c r="Z22" s="5">
        <f t="shared" si="0"/>
        <v>0</v>
      </c>
      <c r="AA22" s="10" t="e">
        <f t="shared" si="2"/>
        <v>#DIV/0!</v>
      </c>
    </row>
    <row r="23" spans="1:27">
      <c r="A23" s="3" t="s">
        <v>29</v>
      </c>
      <c r="B23" s="4"/>
      <c r="C23" s="9">
        <f t="shared" si="1"/>
        <v>0</v>
      </c>
      <c r="D23" s="5">
        <f>100</f>
        <v>100</v>
      </c>
      <c r="E23" s="9">
        <f t="shared" si="1"/>
        <v>1</v>
      </c>
      <c r="F23" s="4"/>
      <c r="G23" s="9">
        <f t="shared" si="1"/>
        <v>0</v>
      </c>
      <c r="H23" s="4"/>
      <c r="I23" s="9">
        <f t="shared" si="1"/>
        <v>0</v>
      </c>
      <c r="J23" s="4"/>
      <c r="K23" s="9">
        <f t="shared" si="1"/>
        <v>0</v>
      </c>
      <c r="L23" s="4"/>
      <c r="M23" s="9">
        <f t="shared" si="1"/>
        <v>0</v>
      </c>
      <c r="N23" s="4"/>
      <c r="O23" s="9">
        <f t="shared" si="1"/>
        <v>0</v>
      </c>
      <c r="P23" s="4"/>
      <c r="Q23" s="9">
        <f t="shared" si="1"/>
        <v>0</v>
      </c>
      <c r="R23" s="4"/>
      <c r="S23" s="9">
        <f t="shared" si="1"/>
        <v>0</v>
      </c>
      <c r="T23" s="4"/>
      <c r="U23" s="9">
        <f t="shared" si="1"/>
        <v>0</v>
      </c>
      <c r="V23" s="4"/>
      <c r="W23" s="9">
        <f t="shared" si="1"/>
        <v>0</v>
      </c>
      <c r="X23" s="4"/>
      <c r="Y23" s="9">
        <f t="shared" si="1"/>
        <v>0</v>
      </c>
      <c r="Z23" s="5">
        <f t="shared" si="0"/>
        <v>100</v>
      </c>
      <c r="AA23" s="10">
        <f t="shared" si="2"/>
        <v>1</v>
      </c>
    </row>
    <row r="24" spans="1:27">
      <c r="A24" s="3" t="s">
        <v>30</v>
      </c>
      <c r="B24" s="4"/>
      <c r="C24" s="9">
        <f t="shared" ref="C24:C39" si="6">B24/$Z24</f>
        <v>0</v>
      </c>
      <c r="D24" s="4"/>
      <c r="E24" s="9">
        <f t="shared" ref="E24:E87" si="7">D24/$Z24</f>
        <v>0</v>
      </c>
      <c r="F24" s="4"/>
      <c r="G24" s="9">
        <f t="shared" ref="G24:G87" si="8">F24/$Z24</f>
        <v>0</v>
      </c>
      <c r="H24" s="4"/>
      <c r="I24" s="9">
        <f t="shared" ref="I24:I87" si="9">H24/$Z24</f>
        <v>0</v>
      </c>
      <c r="J24" s="4"/>
      <c r="K24" s="9">
        <f t="shared" ref="K24:K87" si="10">J24/$Z24</f>
        <v>0</v>
      </c>
      <c r="L24" s="4"/>
      <c r="M24" s="9">
        <f t="shared" ref="M24:M87" si="11">L24/$Z24</f>
        <v>0</v>
      </c>
      <c r="N24" s="5">
        <f>310</f>
        <v>310</v>
      </c>
      <c r="O24" s="9">
        <f t="shared" ref="O24:O87" si="12">N24/$Z24</f>
        <v>0.26382978723404255</v>
      </c>
      <c r="P24" s="5">
        <f>865</f>
        <v>865</v>
      </c>
      <c r="Q24" s="9">
        <f t="shared" ref="Q24:Q87" si="13">P24/$Z24</f>
        <v>0.7361702127659574</v>
      </c>
      <c r="R24" s="4"/>
      <c r="S24" s="9">
        <f t="shared" ref="S24:S87" si="14">R24/$Z24</f>
        <v>0</v>
      </c>
      <c r="T24" s="4"/>
      <c r="U24" s="9">
        <f t="shared" ref="U24:U87" si="15">T24/$Z24</f>
        <v>0</v>
      </c>
      <c r="V24" s="4"/>
      <c r="W24" s="9">
        <f t="shared" ref="W24:W87" si="16">V24/$Z24</f>
        <v>0</v>
      </c>
      <c r="X24" s="4"/>
      <c r="Y24" s="9">
        <f t="shared" ref="Y24:Y87" si="17">X24/$Z24</f>
        <v>0</v>
      </c>
      <c r="Z24" s="5">
        <f t="shared" si="0"/>
        <v>1175</v>
      </c>
      <c r="AA24" s="10">
        <f t="shared" si="2"/>
        <v>1</v>
      </c>
    </row>
    <row r="25" spans="1:27">
      <c r="A25" s="3" t="s">
        <v>31</v>
      </c>
      <c r="B25" s="5">
        <f>-117.94</f>
        <v>-117.94</v>
      </c>
      <c r="C25" s="9">
        <f t="shared" si="6"/>
        <v>0.63727238342248882</v>
      </c>
      <c r="D25" s="4"/>
      <c r="E25" s="9">
        <f t="shared" si="7"/>
        <v>0</v>
      </c>
      <c r="F25" s="4"/>
      <c r="G25" s="9">
        <f t="shared" si="8"/>
        <v>0</v>
      </c>
      <c r="H25" s="4"/>
      <c r="I25" s="9">
        <f t="shared" si="9"/>
        <v>0</v>
      </c>
      <c r="J25" s="4"/>
      <c r="K25" s="9">
        <f t="shared" si="10"/>
        <v>0</v>
      </c>
      <c r="L25" s="4"/>
      <c r="M25" s="9">
        <f t="shared" si="11"/>
        <v>0</v>
      </c>
      <c r="N25" s="4"/>
      <c r="O25" s="9">
        <f t="shared" si="12"/>
        <v>0</v>
      </c>
      <c r="P25" s="4"/>
      <c r="Q25" s="9">
        <f t="shared" si="13"/>
        <v>0</v>
      </c>
      <c r="R25" s="5">
        <f>-67.13</f>
        <v>-67.13</v>
      </c>
      <c r="S25" s="9">
        <f t="shared" si="14"/>
        <v>0.36272761657751118</v>
      </c>
      <c r="T25" s="4"/>
      <c r="U25" s="9">
        <f t="shared" si="15"/>
        <v>0</v>
      </c>
      <c r="V25" s="4"/>
      <c r="W25" s="9">
        <f t="shared" si="16"/>
        <v>0</v>
      </c>
      <c r="X25" s="4"/>
      <c r="Y25" s="9">
        <f t="shared" si="17"/>
        <v>0</v>
      </c>
      <c r="Z25" s="5">
        <f t="shared" si="0"/>
        <v>-185.07</v>
      </c>
      <c r="AA25" s="10">
        <f t="shared" si="2"/>
        <v>1</v>
      </c>
    </row>
    <row r="26" spans="1:27">
      <c r="A26" s="3" t="s">
        <v>32</v>
      </c>
      <c r="B26" s="4"/>
      <c r="C26" s="9">
        <f t="shared" si="6"/>
        <v>0</v>
      </c>
      <c r="D26" s="4"/>
      <c r="E26" s="9">
        <f t="shared" si="7"/>
        <v>0</v>
      </c>
      <c r="F26" s="4"/>
      <c r="G26" s="9">
        <f t="shared" si="8"/>
        <v>0</v>
      </c>
      <c r="H26" s="4"/>
      <c r="I26" s="9">
        <f t="shared" si="9"/>
        <v>0</v>
      </c>
      <c r="J26" s="4"/>
      <c r="K26" s="9">
        <f t="shared" si="10"/>
        <v>0</v>
      </c>
      <c r="L26" s="4"/>
      <c r="M26" s="9">
        <f t="shared" si="11"/>
        <v>0</v>
      </c>
      <c r="N26" s="4"/>
      <c r="O26" s="9">
        <f t="shared" si="12"/>
        <v>0</v>
      </c>
      <c r="P26" s="4"/>
      <c r="Q26" s="9">
        <f t="shared" si="13"/>
        <v>0</v>
      </c>
      <c r="R26" s="5">
        <f>30</f>
        <v>30</v>
      </c>
      <c r="S26" s="9">
        <f t="shared" si="14"/>
        <v>1</v>
      </c>
      <c r="T26" s="4"/>
      <c r="U26" s="9">
        <f t="shared" si="15"/>
        <v>0</v>
      </c>
      <c r="V26" s="4"/>
      <c r="W26" s="9">
        <f t="shared" si="16"/>
        <v>0</v>
      </c>
      <c r="X26" s="4"/>
      <c r="Y26" s="9">
        <f t="shared" si="17"/>
        <v>0</v>
      </c>
      <c r="Z26" s="5">
        <f t="shared" si="0"/>
        <v>30</v>
      </c>
      <c r="AA26" s="10">
        <f t="shared" si="2"/>
        <v>1</v>
      </c>
    </row>
    <row r="27" spans="1:27">
      <c r="A27" s="3" t="s">
        <v>33</v>
      </c>
      <c r="B27" s="6">
        <f t="shared" ref="B27:X27" si="18">((((B22)+(B23))+(B24))+(B25))+(B26)</f>
        <v>-117.94</v>
      </c>
      <c r="C27" s="9">
        <f t="shared" si="6"/>
        <v>-0.10531015331315352</v>
      </c>
      <c r="D27" s="6">
        <f t="shared" si="18"/>
        <v>100</v>
      </c>
      <c r="E27" s="9">
        <f t="shared" si="7"/>
        <v>8.9291294991651282E-2</v>
      </c>
      <c r="F27" s="6">
        <f t="shared" si="18"/>
        <v>0</v>
      </c>
      <c r="G27" s="9">
        <f t="shared" si="8"/>
        <v>0</v>
      </c>
      <c r="H27" s="6">
        <f t="shared" si="18"/>
        <v>0</v>
      </c>
      <c r="I27" s="9">
        <f t="shared" si="9"/>
        <v>0</v>
      </c>
      <c r="J27" s="6">
        <f t="shared" si="18"/>
        <v>0</v>
      </c>
      <c r="K27" s="9">
        <f t="shared" si="10"/>
        <v>0</v>
      </c>
      <c r="L27" s="6">
        <f t="shared" si="18"/>
        <v>0</v>
      </c>
      <c r="M27" s="9">
        <f t="shared" si="11"/>
        <v>0</v>
      </c>
      <c r="N27" s="6">
        <f t="shared" si="18"/>
        <v>310</v>
      </c>
      <c r="O27" s="9">
        <f t="shared" si="12"/>
        <v>0.27680301447411898</v>
      </c>
      <c r="P27" s="6">
        <f t="shared" si="18"/>
        <v>865</v>
      </c>
      <c r="Q27" s="9">
        <f t="shared" si="13"/>
        <v>0.77236970167778352</v>
      </c>
      <c r="R27" s="6">
        <f t="shared" si="18"/>
        <v>-37.129999999999995</v>
      </c>
      <c r="S27" s="9">
        <f t="shared" si="14"/>
        <v>-3.3153857830400112E-2</v>
      </c>
      <c r="T27" s="6">
        <f t="shared" si="18"/>
        <v>0</v>
      </c>
      <c r="U27" s="9">
        <f t="shared" si="15"/>
        <v>0</v>
      </c>
      <c r="V27" s="6">
        <f t="shared" si="18"/>
        <v>0</v>
      </c>
      <c r="W27" s="9">
        <f t="shared" si="16"/>
        <v>0</v>
      </c>
      <c r="X27" s="6">
        <f t="shared" si="18"/>
        <v>0</v>
      </c>
      <c r="Y27" s="9">
        <f t="shared" si="17"/>
        <v>0</v>
      </c>
      <c r="Z27" s="6">
        <f t="shared" si="0"/>
        <v>1119.9299999999998</v>
      </c>
      <c r="AA27" s="10">
        <f t="shared" si="2"/>
        <v>1.0000000000000002</v>
      </c>
    </row>
    <row r="28" spans="1:27">
      <c r="A28" s="3" t="s">
        <v>34</v>
      </c>
      <c r="B28" s="4"/>
      <c r="C28" s="9" t="e">
        <f t="shared" si="6"/>
        <v>#DIV/0!</v>
      </c>
      <c r="D28" s="4"/>
      <c r="E28" s="9" t="e">
        <f t="shared" si="7"/>
        <v>#DIV/0!</v>
      </c>
      <c r="F28" s="4"/>
      <c r="G28" s="9" t="e">
        <f t="shared" si="8"/>
        <v>#DIV/0!</v>
      </c>
      <c r="H28" s="4"/>
      <c r="I28" s="9" t="e">
        <f t="shared" si="9"/>
        <v>#DIV/0!</v>
      </c>
      <c r="J28" s="4"/>
      <c r="K28" s="9" t="e">
        <f t="shared" si="10"/>
        <v>#DIV/0!</v>
      </c>
      <c r="L28" s="4"/>
      <c r="M28" s="9" t="e">
        <f t="shared" si="11"/>
        <v>#DIV/0!</v>
      </c>
      <c r="N28" s="4"/>
      <c r="O28" s="9" t="e">
        <f t="shared" si="12"/>
        <v>#DIV/0!</v>
      </c>
      <c r="P28" s="4"/>
      <c r="Q28" s="9" t="e">
        <f t="shared" si="13"/>
        <v>#DIV/0!</v>
      </c>
      <c r="R28" s="4"/>
      <c r="S28" s="9" t="e">
        <f t="shared" si="14"/>
        <v>#DIV/0!</v>
      </c>
      <c r="T28" s="4"/>
      <c r="U28" s="9" t="e">
        <f t="shared" si="15"/>
        <v>#DIV/0!</v>
      </c>
      <c r="V28" s="4"/>
      <c r="W28" s="9" t="e">
        <f t="shared" si="16"/>
        <v>#DIV/0!</v>
      </c>
      <c r="X28" s="4"/>
      <c r="Y28" s="9" t="e">
        <f t="shared" si="17"/>
        <v>#DIV/0!</v>
      </c>
      <c r="Z28" s="5">
        <f t="shared" si="0"/>
        <v>0</v>
      </c>
      <c r="AA28" s="10" t="e">
        <f t="shared" si="2"/>
        <v>#DIV/0!</v>
      </c>
    </row>
    <row r="29" spans="1:27">
      <c r="A29" s="3" t="s">
        <v>35</v>
      </c>
      <c r="B29" s="4"/>
      <c r="C29" s="9">
        <f t="shared" si="6"/>
        <v>0</v>
      </c>
      <c r="D29" s="4"/>
      <c r="E29" s="9">
        <f t="shared" si="7"/>
        <v>0</v>
      </c>
      <c r="F29" s="4"/>
      <c r="G29" s="9">
        <f t="shared" si="8"/>
        <v>0</v>
      </c>
      <c r="H29" s="4"/>
      <c r="I29" s="9">
        <f t="shared" si="9"/>
        <v>0</v>
      </c>
      <c r="J29" s="4"/>
      <c r="K29" s="9">
        <f t="shared" si="10"/>
        <v>0</v>
      </c>
      <c r="L29" s="4"/>
      <c r="M29" s="9">
        <f t="shared" si="11"/>
        <v>0</v>
      </c>
      <c r="N29" s="4"/>
      <c r="O29" s="9">
        <f t="shared" si="12"/>
        <v>0</v>
      </c>
      <c r="P29" s="4"/>
      <c r="Q29" s="9">
        <f t="shared" si="13"/>
        <v>0</v>
      </c>
      <c r="R29" s="5">
        <f>2000</f>
        <v>2000</v>
      </c>
      <c r="S29" s="9">
        <f t="shared" si="14"/>
        <v>0.11267605633802817</v>
      </c>
      <c r="T29" s="5">
        <f>3725</f>
        <v>3725</v>
      </c>
      <c r="U29" s="9">
        <f t="shared" si="15"/>
        <v>0.20985915492957746</v>
      </c>
      <c r="V29" s="5">
        <f>8025</f>
        <v>8025</v>
      </c>
      <c r="W29" s="9">
        <f t="shared" si="16"/>
        <v>0.45211267605633804</v>
      </c>
      <c r="X29" s="5">
        <f>4000</f>
        <v>4000</v>
      </c>
      <c r="Y29" s="9">
        <f t="shared" si="17"/>
        <v>0.22535211267605634</v>
      </c>
      <c r="Z29" s="5">
        <f t="shared" si="0"/>
        <v>17750</v>
      </c>
      <c r="AA29" s="10">
        <f t="shared" si="2"/>
        <v>1</v>
      </c>
    </row>
    <row r="30" spans="1:27">
      <c r="A30" s="3" t="s">
        <v>36</v>
      </c>
      <c r="B30" s="4"/>
      <c r="C30" s="9">
        <f t="shared" si="6"/>
        <v>0</v>
      </c>
      <c r="D30" s="4"/>
      <c r="E30" s="9">
        <f t="shared" si="7"/>
        <v>0</v>
      </c>
      <c r="F30" s="4"/>
      <c r="G30" s="9">
        <f t="shared" si="8"/>
        <v>0</v>
      </c>
      <c r="H30" s="4"/>
      <c r="I30" s="9">
        <f t="shared" si="9"/>
        <v>0</v>
      </c>
      <c r="J30" s="4"/>
      <c r="K30" s="9">
        <f t="shared" si="10"/>
        <v>0</v>
      </c>
      <c r="L30" s="4"/>
      <c r="M30" s="9">
        <f t="shared" si="11"/>
        <v>0</v>
      </c>
      <c r="N30" s="4"/>
      <c r="O30" s="9">
        <f t="shared" si="12"/>
        <v>0</v>
      </c>
      <c r="P30" s="4"/>
      <c r="Q30" s="9">
        <f t="shared" si="13"/>
        <v>0</v>
      </c>
      <c r="R30" s="5">
        <f>250</f>
        <v>250</v>
      </c>
      <c r="S30" s="9">
        <f t="shared" si="14"/>
        <v>2.7855153203342618E-2</v>
      </c>
      <c r="T30" s="5">
        <f>5100</f>
        <v>5100</v>
      </c>
      <c r="U30" s="9">
        <f t="shared" si="15"/>
        <v>0.56824512534818938</v>
      </c>
      <c r="V30" s="5">
        <f>3375</f>
        <v>3375</v>
      </c>
      <c r="W30" s="9">
        <f t="shared" si="16"/>
        <v>0.37604456824512533</v>
      </c>
      <c r="X30" s="5">
        <f>250</f>
        <v>250</v>
      </c>
      <c r="Y30" s="9">
        <f t="shared" si="17"/>
        <v>2.7855153203342618E-2</v>
      </c>
      <c r="Z30" s="5">
        <f t="shared" si="0"/>
        <v>8975</v>
      </c>
      <c r="AA30" s="10">
        <f t="shared" si="2"/>
        <v>1</v>
      </c>
    </row>
    <row r="31" spans="1:27">
      <c r="A31" s="3" t="s">
        <v>37</v>
      </c>
      <c r="B31" s="4"/>
      <c r="C31" s="9">
        <f t="shared" si="6"/>
        <v>0</v>
      </c>
      <c r="D31" s="4"/>
      <c r="E31" s="9">
        <f t="shared" si="7"/>
        <v>0</v>
      </c>
      <c r="F31" s="4"/>
      <c r="G31" s="9">
        <f t="shared" si="8"/>
        <v>0</v>
      </c>
      <c r="H31" s="4"/>
      <c r="I31" s="9">
        <f t="shared" si="9"/>
        <v>0</v>
      </c>
      <c r="J31" s="4"/>
      <c r="K31" s="9">
        <f t="shared" si="10"/>
        <v>0</v>
      </c>
      <c r="L31" s="4"/>
      <c r="M31" s="9">
        <f t="shared" si="11"/>
        <v>0</v>
      </c>
      <c r="N31" s="4"/>
      <c r="O31" s="9">
        <f t="shared" si="12"/>
        <v>0</v>
      </c>
      <c r="P31" s="4"/>
      <c r="Q31" s="9">
        <f t="shared" si="13"/>
        <v>0</v>
      </c>
      <c r="R31" s="4"/>
      <c r="S31" s="9">
        <f t="shared" si="14"/>
        <v>0</v>
      </c>
      <c r="T31" s="5">
        <f>-6492.64</f>
        <v>-6492.64</v>
      </c>
      <c r="U31" s="9">
        <f t="shared" si="15"/>
        <v>0.23580420301713914</v>
      </c>
      <c r="V31" s="5">
        <f>-90.81</f>
        <v>-90.81</v>
      </c>
      <c r="W31" s="9">
        <f t="shared" si="16"/>
        <v>3.298100568641786E-3</v>
      </c>
      <c r="X31" s="5">
        <f>-20950.58</f>
        <v>-20950.580000000002</v>
      </c>
      <c r="Y31" s="9">
        <f t="shared" si="17"/>
        <v>0.760897696414219</v>
      </c>
      <c r="Z31" s="5">
        <f t="shared" si="0"/>
        <v>-27534.030000000002</v>
      </c>
      <c r="AA31" s="10">
        <f t="shared" si="2"/>
        <v>1</v>
      </c>
    </row>
    <row r="32" spans="1:27">
      <c r="A32" s="3" t="s">
        <v>38</v>
      </c>
      <c r="B32" s="6">
        <f t="shared" ref="B32:X32" si="19">(((B28)+(B29))+(B30))+(B31)</f>
        <v>0</v>
      </c>
      <c r="C32" s="9">
        <f t="shared" si="6"/>
        <v>0</v>
      </c>
      <c r="D32" s="6">
        <f t="shared" si="19"/>
        <v>0</v>
      </c>
      <c r="E32" s="9">
        <f t="shared" si="7"/>
        <v>0</v>
      </c>
      <c r="F32" s="6">
        <f t="shared" si="19"/>
        <v>0</v>
      </c>
      <c r="G32" s="9">
        <f t="shared" si="8"/>
        <v>0</v>
      </c>
      <c r="H32" s="6">
        <f t="shared" si="19"/>
        <v>0</v>
      </c>
      <c r="I32" s="9">
        <f t="shared" si="9"/>
        <v>0</v>
      </c>
      <c r="J32" s="6">
        <f t="shared" si="19"/>
        <v>0</v>
      </c>
      <c r="K32" s="9">
        <f t="shared" si="10"/>
        <v>0</v>
      </c>
      <c r="L32" s="6">
        <f t="shared" si="19"/>
        <v>0</v>
      </c>
      <c r="M32" s="9">
        <f t="shared" si="11"/>
        <v>0</v>
      </c>
      <c r="N32" s="6">
        <f t="shared" si="19"/>
        <v>0</v>
      </c>
      <c r="O32" s="9">
        <f t="shared" si="12"/>
        <v>0</v>
      </c>
      <c r="P32" s="6">
        <f t="shared" si="19"/>
        <v>0</v>
      </c>
      <c r="Q32" s="9">
        <f t="shared" si="13"/>
        <v>0</v>
      </c>
      <c r="R32" s="6">
        <f t="shared" si="19"/>
        <v>2250</v>
      </c>
      <c r="S32" s="9">
        <f t="shared" si="14"/>
        <v>-2.781108240732721</v>
      </c>
      <c r="T32" s="6">
        <f t="shared" si="19"/>
        <v>2332.3599999999997</v>
      </c>
      <c r="U32" s="9">
        <f t="shared" si="15"/>
        <v>-2.8829091628246077</v>
      </c>
      <c r="V32" s="6">
        <f t="shared" si="19"/>
        <v>11309.19</v>
      </c>
      <c r="W32" s="9">
        <f t="shared" si="16"/>
        <v>-13.97870289111648</v>
      </c>
      <c r="X32" s="6">
        <f t="shared" si="19"/>
        <v>-16700.580000000002</v>
      </c>
      <c r="Y32" s="9">
        <f t="shared" si="17"/>
        <v>20.642720294673808</v>
      </c>
      <c r="Z32" s="6">
        <f t="shared" si="0"/>
        <v>-809.03000000000247</v>
      </c>
      <c r="AA32" s="10">
        <f t="shared" si="2"/>
        <v>1</v>
      </c>
    </row>
    <row r="33" spans="1:27">
      <c r="A33" s="3" t="s">
        <v>39</v>
      </c>
      <c r="B33" s="4"/>
      <c r="C33" s="9" t="e">
        <f t="shared" si="6"/>
        <v>#DIV/0!</v>
      </c>
      <c r="D33" s="4"/>
      <c r="E33" s="9" t="e">
        <f t="shared" si="7"/>
        <v>#DIV/0!</v>
      </c>
      <c r="F33" s="4"/>
      <c r="G33" s="9" t="e">
        <f t="shared" si="8"/>
        <v>#DIV/0!</v>
      </c>
      <c r="H33" s="4"/>
      <c r="I33" s="9" t="e">
        <f t="shared" si="9"/>
        <v>#DIV/0!</v>
      </c>
      <c r="J33" s="4"/>
      <c r="K33" s="9" t="e">
        <f t="shared" si="10"/>
        <v>#DIV/0!</v>
      </c>
      <c r="L33" s="4"/>
      <c r="M33" s="9" t="e">
        <f t="shared" si="11"/>
        <v>#DIV/0!</v>
      </c>
      <c r="N33" s="4"/>
      <c r="O33" s="9" t="e">
        <f t="shared" si="12"/>
        <v>#DIV/0!</v>
      </c>
      <c r="P33" s="4"/>
      <c r="Q33" s="9" t="e">
        <f t="shared" si="13"/>
        <v>#DIV/0!</v>
      </c>
      <c r="R33" s="4"/>
      <c r="S33" s="9" t="e">
        <f t="shared" si="14"/>
        <v>#DIV/0!</v>
      </c>
      <c r="T33" s="4"/>
      <c r="U33" s="9" t="e">
        <f t="shared" si="15"/>
        <v>#DIV/0!</v>
      </c>
      <c r="V33" s="4"/>
      <c r="W33" s="9" t="e">
        <f t="shared" si="16"/>
        <v>#DIV/0!</v>
      </c>
      <c r="X33" s="4"/>
      <c r="Y33" s="9" t="e">
        <f t="shared" si="17"/>
        <v>#DIV/0!</v>
      </c>
      <c r="Z33" s="5">
        <f t="shared" si="0"/>
        <v>0</v>
      </c>
      <c r="AA33" s="10" t="e">
        <f t="shared" si="2"/>
        <v>#DIV/0!</v>
      </c>
    </row>
    <row r="34" spans="1:27">
      <c r="A34" s="3" t="s">
        <v>40</v>
      </c>
      <c r="B34" s="5">
        <f>67</f>
        <v>67</v>
      </c>
      <c r="C34" s="9">
        <f t="shared" si="6"/>
        <v>0.87012987012987009</v>
      </c>
      <c r="D34" s="5">
        <f>10</f>
        <v>10</v>
      </c>
      <c r="E34" s="9">
        <f t="shared" si="7"/>
        <v>0.12987012987012986</v>
      </c>
      <c r="F34" s="4"/>
      <c r="G34" s="9">
        <f t="shared" si="8"/>
        <v>0</v>
      </c>
      <c r="H34" s="4"/>
      <c r="I34" s="9">
        <f t="shared" si="9"/>
        <v>0</v>
      </c>
      <c r="J34" s="4"/>
      <c r="K34" s="9">
        <f t="shared" si="10"/>
        <v>0</v>
      </c>
      <c r="L34" s="4"/>
      <c r="M34" s="9">
        <f t="shared" si="11"/>
        <v>0</v>
      </c>
      <c r="N34" s="4"/>
      <c r="O34" s="9">
        <f t="shared" si="12"/>
        <v>0</v>
      </c>
      <c r="P34" s="4"/>
      <c r="Q34" s="9">
        <f t="shared" si="13"/>
        <v>0</v>
      </c>
      <c r="R34" s="4"/>
      <c r="S34" s="9">
        <f t="shared" si="14"/>
        <v>0</v>
      </c>
      <c r="T34" s="4"/>
      <c r="U34" s="9">
        <f t="shared" si="15"/>
        <v>0</v>
      </c>
      <c r="V34" s="4"/>
      <c r="W34" s="9">
        <f t="shared" si="16"/>
        <v>0</v>
      </c>
      <c r="X34" s="4"/>
      <c r="Y34" s="9">
        <f t="shared" si="17"/>
        <v>0</v>
      </c>
      <c r="Z34" s="5">
        <f t="shared" si="0"/>
        <v>77</v>
      </c>
      <c r="AA34" s="10">
        <f t="shared" si="2"/>
        <v>1</v>
      </c>
    </row>
    <row r="35" spans="1:27">
      <c r="A35" s="3" t="s">
        <v>41</v>
      </c>
      <c r="B35" s="4"/>
      <c r="C35" s="9">
        <f t="shared" si="6"/>
        <v>0</v>
      </c>
      <c r="D35" s="5">
        <f>-41.13</f>
        <v>-41.13</v>
      </c>
      <c r="E35" s="9">
        <f t="shared" si="7"/>
        <v>0.39212508342072649</v>
      </c>
      <c r="F35" s="4"/>
      <c r="G35" s="9">
        <f t="shared" si="8"/>
        <v>0</v>
      </c>
      <c r="H35" s="5">
        <f>-63.76</f>
        <v>-63.76</v>
      </c>
      <c r="I35" s="9">
        <f t="shared" si="9"/>
        <v>0.60787491657927351</v>
      </c>
      <c r="J35" s="4"/>
      <c r="K35" s="9">
        <f t="shared" si="10"/>
        <v>0</v>
      </c>
      <c r="L35" s="4"/>
      <c r="M35" s="9">
        <f t="shared" si="11"/>
        <v>0</v>
      </c>
      <c r="N35" s="4"/>
      <c r="O35" s="9">
        <f t="shared" si="12"/>
        <v>0</v>
      </c>
      <c r="P35" s="4"/>
      <c r="Q35" s="9">
        <f t="shared" si="13"/>
        <v>0</v>
      </c>
      <c r="R35" s="4"/>
      <c r="S35" s="9">
        <f t="shared" si="14"/>
        <v>0</v>
      </c>
      <c r="T35" s="4"/>
      <c r="U35" s="9">
        <f t="shared" si="15"/>
        <v>0</v>
      </c>
      <c r="V35" s="4"/>
      <c r="W35" s="9">
        <f t="shared" si="16"/>
        <v>0</v>
      </c>
      <c r="X35" s="4"/>
      <c r="Y35" s="9">
        <f t="shared" si="17"/>
        <v>0</v>
      </c>
      <c r="Z35" s="5">
        <f t="shared" si="0"/>
        <v>-104.89</v>
      </c>
      <c r="AA35" s="10">
        <f t="shared" si="2"/>
        <v>1</v>
      </c>
    </row>
    <row r="36" spans="1:27">
      <c r="A36" s="3" t="s">
        <v>42</v>
      </c>
      <c r="B36" s="6">
        <f t="shared" ref="B36:X36" si="20">((B33)+(B34))+(B35)</f>
        <v>67</v>
      </c>
      <c r="C36" s="9">
        <f t="shared" si="6"/>
        <v>-2.4022947292936534</v>
      </c>
      <c r="D36" s="6">
        <f t="shared" si="20"/>
        <v>-31.130000000000003</v>
      </c>
      <c r="E36" s="9">
        <f t="shared" si="7"/>
        <v>1.1161706704912155</v>
      </c>
      <c r="F36" s="6">
        <f t="shared" si="20"/>
        <v>0</v>
      </c>
      <c r="G36" s="9">
        <f t="shared" si="8"/>
        <v>0</v>
      </c>
      <c r="H36" s="6">
        <f t="shared" si="20"/>
        <v>-63.76</v>
      </c>
      <c r="I36" s="9">
        <f t="shared" si="9"/>
        <v>2.2861240588024381</v>
      </c>
      <c r="J36" s="6">
        <f t="shared" si="20"/>
        <v>0</v>
      </c>
      <c r="K36" s="9">
        <f t="shared" si="10"/>
        <v>0</v>
      </c>
      <c r="L36" s="6">
        <f t="shared" si="20"/>
        <v>0</v>
      </c>
      <c r="M36" s="9">
        <f t="shared" si="11"/>
        <v>0</v>
      </c>
      <c r="N36" s="6">
        <f t="shared" si="20"/>
        <v>0</v>
      </c>
      <c r="O36" s="9">
        <f t="shared" si="12"/>
        <v>0</v>
      </c>
      <c r="P36" s="6">
        <f t="shared" si="20"/>
        <v>0</v>
      </c>
      <c r="Q36" s="9">
        <f t="shared" si="13"/>
        <v>0</v>
      </c>
      <c r="R36" s="6">
        <f t="shared" si="20"/>
        <v>0</v>
      </c>
      <c r="S36" s="9">
        <f t="shared" si="14"/>
        <v>0</v>
      </c>
      <c r="T36" s="6">
        <f t="shared" si="20"/>
        <v>0</v>
      </c>
      <c r="U36" s="9">
        <f t="shared" si="15"/>
        <v>0</v>
      </c>
      <c r="V36" s="6">
        <f t="shared" si="20"/>
        <v>0</v>
      </c>
      <c r="W36" s="9">
        <f t="shared" si="16"/>
        <v>0</v>
      </c>
      <c r="X36" s="6">
        <f t="shared" si="20"/>
        <v>0</v>
      </c>
      <c r="Y36" s="9">
        <f t="shared" si="17"/>
        <v>0</v>
      </c>
      <c r="Z36" s="6">
        <f t="shared" si="0"/>
        <v>-27.89</v>
      </c>
      <c r="AA36" s="10">
        <f t="shared" si="2"/>
        <v>1.0000000000000002</v>
      </c>
    </row>
    <row r="37" spans="1:27">
      <c r="A37" s="3" t="s">
        <v>43</v>
      </c>
      <c r="B37" s="4"/>
      <c r="C37" s="9" t="e">
        <f t="shared" si="6"/>
        <v>#DIV/0!</v>
      </c>
      <c r="D37" s="4"/>
      <c r="E37" s="9" t="e">
        <f t="shared" si="7"/>
        <v>#DIV/0!</v>
      </c>
      <c r="F37" s="4"/>
      <c r="G37" s="9" t="e">
        <f t="shared" si="8"/>
        <v>#DIV/0!</v>
      </c>
      <c r="H37" s="4"/>
      <c r="I37" s="9" t="e">
        <f t="shared" si="9"/>
        <v>#DIV/0!</v>
      </c>
      <c r="J37" s="4"/>
      <c r="K37" s="9" t="e">
        <f t="shared" si="10"/>
        <v>#DIV/0!</v>
      </c>
      <c r="L37" s="4"/>
      <c r="M37" s="9" t="e">
        <f t="shared" si="11"/>
        <v>#DIV/0!</v>
      </c>
      <c r="N37" s="4"/>
      <c r="O37" s="9" t="e">
        <f t="shared" si="12"/>
        <v>#DIV/0!</v>
      </c>
      <c r="P37" s="4"/>
      <c r="Q37" s="9" t="e">
        <f t="shared" si="13"/>
        <v>#DIV/0!</v>
      </c>
      <c r="R37" s="4"/>
      <c r="S37" s="9" t="e">
        <f t="shared" si="14"/>
        <v>#DIV/0!</v>
      </c>
      <c r="T37" s="4"/>
      <c r="U37" s="9" t="e">
        <f t="shared" si="15"/>
        <v>#DIV/0!</v>
      </c>
      <c r="V37" s="4"/>
      <c r="W37" s="9" t="e">
        <f t="shared" si="16"/>
        <v>#DIV/0!</v>
      </c>
      <c r="X37" s="4"/>
      <c r="Y37" s="9" t="e">
        <f t="shared" si="17"/>
        <v>#DIV/0!</v>
      </c>
      <c r="Z37" s="5">
        <f t="shared" si="0"/>
        <v>0</v>
      </c>
      <c r="AA37" s="10" t="e">
        <f t="shared" si="2"/>
        <v>#DIV/0!</v>
      </c>
    </row>
    <row r="38" spans="1:27">
      <c r="A38" s="3" t="s">
        <v>44</v>
      </c>
      <c r="B38" s="4"/>
      <c r="C38" s="9">
        <f t="shared" si="6"/>
        <v>0</v>
      </c>
      <c r="D38" s="4"/>
      <c r="E38" s="9">
        <f t="shared" si="7"/>
        <v>0</v>
      </c>
      <c r="F38" s="5">
        <f>900</f>
        <v>900</v>
      </c>
      <c r="G38" s="9">
        <f t="shared" si="8"/>
        <v>0.32644178454842221</v>
      </c>
      <c r="H38" s="5">
        <f>357</f>
        <v>357</v>
      </c>
      <c r="I38" s="9">
        <f t="shared" si="9"/>
        <v>0.12948857453754081</v>
      </c>
      <c r="J38" s="5">
        <f>500</f>
        <v>500</v>
      </c>
      <c r="K38" s="9">
        <f t="shared" si="10"/>
        <v>0.18135654697134568</v>
      </c>
      <c r="L38" s="5">
        <f>250</f>
        <v>250</v>
      </c>
      <c r="M38" s="9">
        <f t="shared" si="11"/>
        <v>9.0678273485672839E-2</v>
      </c>
      <c r="N38" s="5">
        <f>250</f>
        <v>250</v>
      </c>
      <c r="O38" s="9">
        <f t="shared" si="12"/>
        <v>9.0678273485672839E-2</v>
      </c>
      <c r="P38" s="5">
        <f>500</f>
        <v>500</v>
      </c>
      <c r="Q38" s="9">
        <f t="shared" si="13"/>
        <v>0.18135654697134568</v>
      </c>
      <c r="R38" s="4"/>
      <c r="S38" s="9">
        <f t="shared" si="14"/>
        <v>0</v>
      </c>
      <c r="T38" s="4"/>
      <c r="U38" s="9">
        <f t="shared" si="15"/>
        <v>0</v>
      </c>
      <c r="V38" s="4"/>
      <c r="W38" s="9">
        <f t="shared" si="16"/>
        <v>0</v>
      </c>
      <c r="X38" s="5">
        <f>0</f>
        <v>0</v>
      </c>
      <c r="Y38" s="9">
        <f t="shared" si="17"/>
        <v>0</v>
      </c>
      <c r="Z38" s="5">
        <f t="shared" si="0"/>
        <v>2757</v>
      </c>
      <c r="AA38" s="10">
        <f t="shared" si="2"/>
        <v>1</v>
      </c>
    </row>
    <row r="39" spans="1:27">
      <c r="A39" s="3" t="s">
        <v>45</v>
      </c>
      <c r="B39" s="5">
        <f>-80.49</f>
        <v>-80.489999999999995</v>
      </c>
      <c r="C39" s="9">
        <f t="shared" si="6"/>
        <v>6.0596707044395424E-2</v>
      </c>
      <c r="D39" s="4"/>
      <c r="E39" s="9">
        <f t="shared" si="7"/>
        <v>0</v>
      </c>
      <c r="F39" s="5">
        <f>-1057</f>
        <v>-1057</v>
      </c>
      <c r="G39" s="9">
        <f t="shared" si="8"/>
        <v>0.7957599620564787</v>
      </c>
      <c r="H39" s="4"/>
      <c r="I39" s="9">
        <f t="shared" si="9"/>
        <v>0</v>
      </c>
      <c r="J39" s="4"/>
      <c r="K39" s="9">
        <f t="shared" si="10"/>
        <v>0</v>
      </c>
      <c r="L39" s="4"/>
      <c r="M39" s="9">
        <f t="shared" si="11"/>
        <v>0</v>
      </c>
      <c r="N39" s="4"/>
      <c r="O39" s="9">
        <f t="shared" si="12"/>
        <v>0</v>
      </c>
      <c r="P39" s="4"/>
      <c r="Q39" s="9">
        <f t="shared" si="13"/>
        <v>0</v>
      </c>
      <c r="R39" s="4"/>
      <c r="S39" s="9">
        <f t="shared" si="14"/>
        <v>0</v>
      </c>
      <c r="T39" s="4"/>
      <c r="U39" s="9">
        <f t="shared" si="15"/>
        <v>0</v>
      </c>
      <c r="V39" s="4"/>
      <c r="W39" s="9">
        <f t="shared" si="16"/>
        <v>0</v>
      </c>
      <c r="X39" s="5">
        <f>-190.8</f>
        <v>-190.8</v>
      </c>
      <c r="Y39" s="9">
        <f t="shared" si="17"/>
        <v>0.14364333089912595</v>
      </c>
      <c r="Z39" s="5">
        <f t="shared" si="0"/>
        <v>-1328.29</v>
      </c>
      <c r="AA39" s="10">
        <f t="shared" si="2"/>
        <v>1</v>
      </c>
    </row>
    <row r="40" spans="1:27">
      <c r="A40" s="3" t="s">
        <v>46</v>
      </c>
      <c r="B40" s="6">
        <f t="shared" ref="B40:X40" si="21">((B37)+(B38))+(B39)</f>
        <v>-80.489999999999995</v>
      </c>
      <c r="C40" s="9">
        <f t="shared" ref="C40:C55" si="22">B40/$Z40</f>
        <v>-5.6337535259079863E-2</v>
      </c>
      <c r="D40" s="6">
        <f t="shared" si="21"/>
        <v>0</v>
      </c>
      <c r="E40" s="9">
        <f t="shared" si="7"/>
        <v>0</v>
      </c>
      <c r="F40" s="6">
        <f t="shared" si="21"/>
        <v>-157</v>
      </c>
      <c r="G40" s="9">
        <f t="shared" si="8"/>
        <v>-0.10988934073394881</v>
      </c>
      <c r="H40" s="6">
        <f t="shared" si="21"/>
        <v>357</v>
      </c>
      <c r="I40" s="9">
        <f t="shared" si="9"/>
        <v>0.24987576205108103</v>
      </c>
      <c r="J40" s="6">
        <f t="shared" si="21"/>
        <v>500</v>
      </c>
      <c r="K40" s="9">
        <f t="shared" si="10"/>
        <v>0.34996605329283059</v>
      </c>
      <c r="L40" s="6">
        <f t="shared" si="21"/>
        <v>250</v>
      </c>
      <c r="M40" s="9">
        <f t="shared" si="11"/>
        <v>0.1749830266464153</v>
      </c>
      <c r="N40" s="6">
        <f t="shared" si="21"/>
        <v>250</v>
      </c>
      <c r="O40" s="9">
        <f t="shared" si="12"/>
        <v>0.1749830266464153</v>
      </c>
      <c r="P40" s="6">
        <f t="shared" si="21"/>
        <v>500</v>
      </c>
      <c r="Q40" s="9">
        <f t="shared" si="13"/>
        <v>0.34996605329283059</v>
      </c>
      <c r="R40" s="6">
        <f t="shared" si="21"/>
        <v>0</v>
      </c>
      <c r="S40" s="9">
        <f t="shared" si="14"/>
        <v>0</v>
      </c>
      <c r="T40" s="6">
        <f t="shared" si="21"/>
        <v>0</v>
      </c>
      <c r="U40" s="9">
        <f t="shared" si="15"/>
        <v>0</v>
      </c>
      <c r="V40" s="6">
        <f t="shared" si="21"/>
        <v>0</v>
      </c>
      <c r="W40" s="9">
        <f t="shared" si="16"/>
        <v>0</v>
      </c>
      <c r="X40" s="6">
        <f t="shared" si="21"/>
        <v>-190.8</v>
      </c>
      <c r="Y40" s="9">
        <f t="shared" si="17"/>
        <v>-0.13354704593654415</v>
      </c>
      <c r="Z40" s="6">
        <f t="shared" si="0"/>
        <v>1428.71</v>
      </c>
      <c r="AA40" s="10">
        <f t="shared" si="2"/>
        <v>0.99999999999999978</v>
      </c>
    </row>
    <row r="41" spans="1:27">
      <c r="A41" s="3" t="s">
        <v>47</v>
      </c>
      <c r="B41" s="4"/>
      <c r="C41" s="9" t="e">
        <f t="shared" si="22"/>
        <v>#DIV/0!</v>
      </c>
      <c r="D41" s="4"/>
      <c r="E41" s="9" t="e">
        <f t="shared" si="7"/>
        <v>#DIV/0!</v>
      </c>
      <c r="F41" s="4"/>
      <c r="G41" s="9" t="e">
        <f t="shared" si="8"/>
        <v>#DIV/0!</v>
      </c>
      <c r="H41" s="4"/>
      <c r="I41" s="9" t="e">
        <f t="shared" si="9"/>
        <v>#DIV/0!</v>
      </c>
      <c r="J41" s="4"/>
      <c r="K41" s="9" t="e">
        <f t="shared" si="10"/>
        <v>#DIV/0!</v>
      </c>
      <c r="L41" s="4"/>
      <c r="M41" s="9" t="e">
        <f t="shared" si="11"/>
        <v>#DIV/0!</v>
      </c>
      <c r="N41" s="4"/>
      <c r="O41" s="9" t="e">
        <f t="shared" si="12"/>
        <v>#DIV/0!</v>
      </c>
      <c r="P41" s="4"/>
      <c r="Q41" s="9" t="e">
        <f t="shared" si="13"/>
        <v>#DIV/0!</v>
      </c>
      <c r="R41" s="4"/>
      <c r="S41" s="9" t="e">
        <f t="shared" si="14"/>
        <v>#DIV/0!</v>
      </c>
      <c r="T41" s="4"/>
      <c r="U41" s="9" t="e">
        <f t="shared" si="15"/>
        <v>#DIV/0!</v>
      </c>
      <c r="V41" s="4"/>
      <c r="W41" s="9" t="e">
        <f t="shared" si="16"/>
        <v>#DIV/0!</v>
      </c>
      <c r="X41" s="4"/>
      <c r="Y41" s="9" t="e">
        <f t="shared" si="17"/>
        <v>#DIV/0!</v>
      </c>
      <c r="Z41" s="5">
        <f t="shared" si="0"/>
        <v>0</v>
      </c>
      <c r="AA41" s="10" t="e">
        <f t="shared" si="2"/>
        <v>#DIV/0!</v>
      </c>
    </row>
    <row r="42" spans="1:27">
      <c r="A42" s="3" t="s">
        <v>48</v>
      </c>
      <c r="B42" s="4"/>
      <c r="C42" s="9">
        <f t="shared" si="22"/>
        <v>0</v>
      </c>
      <c r="D42" s="4"/>
      <c r="E42" s="9">
        <f t="shared" si="7"/>
        <v>0</v>
      </c>
      <c r="F42" s="4"/>
      <c r="G42" s="9">
        <f t="shared" si="8"/>
        <v>0</v>
      </c>
      <c r="H42" s="4"/>
      <c r="I42" s="9">
        <f t="shared" si="9"/>
        <v>0</v>
      </c>
      <c r="J42" s="5">
        <f>-58.45</f>
        <v>-58.45</v>
      </c>
      <c r="K42" s="9">
        <f t="shared" si="10"/>
        <v>0.32216281761560933</v>
      </c>
      <c r="L42" s="4"/>
      <c r="M42" s="9">
        <f t="shared" si="11"/>
        <v>0</v>
      </c>
      <c r="N42" s="5">
        <f>-50</f>
        <v>-50</v>
      </c>
      <c r="O42" s="9">
        <f t="shared" si="12"/>
        <v>0.27558838119384887</v>
      </c>
      <c r="P42" s="5">
        <f>-22.98</f>
        <v>-22.98</v>
      </c>
      <c r="Q42" s="9">
        <f t="shared" si="13"/>
        <v>0.12666041999669295</v>
      </c>
      <c r="R42" s="4"/>
      <c r="S42" s="9">
        <f t="shared" si="14"/>
        <v>0</v>
      </c>
      <c r="T42" s="5">
        <f>-50</f>
        <v>-50</v>
      </c>
      <c r="U42" s="9">
        <f t="shared" si="15"/>
        <v>0.27558838119384887</v>
      </c>
      <c r="V42" s="4"/>
      <c r="W42" s="9">
        <f t="shared" si="16"/>
        <v>0</v>
      </c>
      <c r="X42" s="4"/>
      <c r="Y42" s="9">
        <f t="shared" si="17"/>
        <v>0</v>
      </c>
      <c r="Z42" s="5">
        <f t="shared" si="0"/>
        <v>-181.43</v>
      </c>
      <c r="AA42" s="10">
        <f t="shared" si="2"/>
        <v>1</v>
      </c>
    </row>
    <row r="43" spans="1:27">
      <c r="A43" s="3" t="s">
        <v>49</v>
      </c>
      <c r="B43" s="6">
        <f t="shared" ref="B43:X43" si="23">(B41)+(B42)</f>
        <v>0</v>
      </c>
      <c r="C43" s="9">
        <f t="shared" si="22"/>
        <v>0</v>
      </c>
      <c r="D43" s="6">
        <f t="shared" si="23"/>
        <v>0</v>
      </c>
      <c r="E43" s="9">
        <f t="shared" si="7"/>
        <v>0</v>
      </c>
      <c r="F43" s="6">
        <f t="shared" si="23"/>
        <v>0</v>
      </c>
      <c r="G43" s="9">
        <f t="shared" si="8"/>
        <v>0</v>
      </c>
      <c r="H43" s="6">
        <f t="shared" si="23"/>
        <v>0</v>
      </c>
      <c r="I43" s="9">
        <f t="shared" si="9"/>
        <v>0</v>
      </c>
      <c r="J43" s="6">
        <f t="shared" si="23"/>
        <v>-58.45</v>
      </c>
      <c r="K43" s="9">
        <f t="shared" si="10"/>
        <v>0.32216281761560933</v>
      </c>
      <c r="L43" s="6">
        <f t="shared" si="23"/>
        <v>0</v>
      </c>
      <c r="M43" s="9">
        <f t="shared" si="11"/>
        <v>0</v>
      </c>
      <c r="N43" s="6">
        <f t="shared" si="23"/>
        <v>-50</v>
      </c>
      <c r="O43" s="9">
        <f t="shared" si="12"/>
        <v>0.27558838119384887</v>
      </c>
      <c r="P43" s="6">
        <f t="shared" si="23"/>
        <v>-22.98</v>
      </c>
      <c r="Q43" s="9">
        <f t="shared" si="13"/>
        <v>0.12666041999669295</v>
      </c>
      <c r="R43" s="6">
        <f t="shared" si="23"/>
        <v>0</v>
      </c>
      <c r="S43" s="9">
        <f t="shared" si="14"/>
        <v>0</v>
      </c>
      <c r="T43" s="6">
        <f t="shared" si="23"/>
        <v>-50</v>
      </c>
      <c r="U43" s="9">
        <f t="shared" si="15"/>
        <v>0.27558838119384887</v>
      </c>
      <c r="V43" s="6">
        <f t="shared" si="23"/>
        <v>0</v>
      </c>
      <c r="W43" s="9">
        <f t="shared" si="16"/>
        <v>0</v>
      </c>
      <c r="X43" s="6">
        <f t="shared" si="23"/>
        <v>0</v>
      </c>
      <c r="Y43" s="9">
        <f t="shared" si="17"/>
        <v>0</v>
      </c>
      <c r="Z43" s="6">
        <f t="shared" si="0"/>
        <v>-181.43</v>
      </c>
      <c r="AA43" s="10">
        <f t="shared" si="2"/>
        <v>1</v>
      </c>
    </row>
    <row r="44" spans="1:27">
      <c r="A44" s="3" t="s">
        <v>50</v>
      </c>
      <c r="B44" s="6">
        <f t="shared" ref="B44:X44" si="24">(((((((B12)+(B17))+(B21))+(B27))+(B32))+(B36))+(B40))+(B43)</f>
        <v>4818.5700000000006</v>
      </c>
      <c r="C44" s="9">
        <f t="shared" si="22"/>
        <v>0.17176163531383604</v>
      </c>
      <c r="D44" s="6">
        <f t="shared" si="24"/>
        <v>2318.87</v>
      </c>
      <c r="E44" s="9">
        <f t="shared" si="7"/>
        <v>8.2657905411811991E-2</v>
      </c>
      <c r="F44" s="6">
        <f t="shared" si="24"/>
        <v>6125.68</v>
      </c>
      <c r="G44" s="9">
        <f t="shared" si="8"/>
        <v>0.21835457702373506</v>
      </c>
      <c r="H44" s="6">
        <f t="shared" si="24"/>
        <v>-8360.36</v>
      </c>
      <c r="I44" s="9">
        <f t="shared" si="9"/>
        <v>-0.29801146510528692</v>
      </c>
      <c r="J44" s="6">
        <f t="shared" si="24"/>
        <v>12079.05</v>
      </c>
      <c r="K44" s="9">
        <f t="shared" si="10"/>
        <v>0.43056703151299885</v>
      </c>
      <c r="L44" s="6">
        <f t="shared" si="24"/>
        <v>2462.5</v>
      </c>
      <c r="M44" s="9">
        <f t="shared" si="11"/>
        <v>8.7777707278367076E-2</v>
      </c>
      <c r="N44" s="6">
        <f t="shared" si="24"/>
        <v>7669.22</v>
      </c>
      <c r="O44" s="9">
        <f t="shared" si="12"/>
        <v>0.27337524800544094</v>
      </c>
      <c r="P44" s="6">
        <f t="shared" si="24"/>
        <v>4492.0200000000004</v>
      </c>
      <c r="Q44" s="9">
        <f t="shared" si="13"/>
        <v>0.16012150929891186</v>
      </c>
      <c r="R44" s="6">
        <f t="shared" si="24"/>
        <v>4074.09</v>
      </c>
      <c r="S44" s="9">
        <f t="shared" si="14"/>
        <v>0.14522407287135938</v>
      </c>
      <c r="T44" s="6">
        <f t="shared" si="24"/>
        <v>-2093.63</v>
      </c>
      <c r="U44" s="9">
        <f t="shared" si="15"/>
        <v>-7.462905230018585E-2</v>
      </c>
      <c r="V44" s="6">
        <f t="shared" si="24"/>
        <v>11309.19</v>
      </c>
      <c r="W44" s="9">
        <f t="shared" si="16"/>
        <v>0.40312477944180147</v>
      </c>
      <c r="X44" s="6">
        <f t="shared" si="24"/>
        <v>-16841.38</v>
      </c>
      <c r="Y44" s="9">
        <f t="shared" si="17"/>
        <v>-0.60032394875279016</v>
      </c>
      <c r="Z44" s="6">
        <f t="shared" si="0"/>
        <v>28053.820000000003</v>
      </c>
      <c r="AA44" s="10">
        <f t="shared" si="2"/>
        <v>0.99999999999999989</v>
      </c>
    </row>
    <row r="45" spans="1:27">
      <c r="A45" s="3" t="s">
        <v>51</v>
      </c>
      <c r="B45" s="4"/>
      <c r="C45" s="9" t="e">
        <f t="shared" si="22"/>
        <v>#DIV/0!</v>
      </c>
      <c r="D45" s="4"/>
      <c r="E45" s="9" t="e">
        <f t="shared" si="7"/>
        <v>#DIV/0!</v>
      </c>
      <c r="F45" s="4"/>
      <c r="G45" s="9" t="e">
        <f t="shared" si="8"/>
        <v>#DIV/0!</v>
      </c>
      <c r="H45" s="4"/>
      <c r="I45" s="9" t="e">
        <f t="shared" si="9"/>
        <v>#DIV/0!</v>
      </c>
      <c r="J45" s="4"/>
      <c r="K45" s="9" t="e">
        <f t="shared" si="10"/>
        <v>#DIV/0!</v>
      </c>
      <c r="L45" s="4"/>
      <c r="M45" s="9" t="e">
        <f t="shared" si="11"/>
        <v>#DIV/0!</v>
      </c>
      <c r="N45" s="4"/>
      <c r="O45" s="9" t="e">
        <f t="shared" si="12"/>
        <v>#DIV/0!</v>
      </c>
      <c r="P45" s="4"/>
      <c r="Q45" s="9" t="e">
        <f t="shared" si="13"/>
        <v>#DIV/0!</v>
      </c>
      <c r="R45" s="4"/>
      <c r="S45" s="9" t="e">
        <f t="shared" si="14"/>
        <v>#DIV/0!</v>
      </c>
      <c r="T45" s="4"/>
      <c r="U45" s="9" t="e">
        <f t="shared" si="15"/>
        <v>#DIV/0!</v>
      </c>
      <c r="V45" s="4"/>
      <c r="W45" s="9" t="e">
        <f t="shared" si="16"/>
        <v>#DIV/0!</v>
      </c>
      <c r="X45" s="4"/>
      <c r="Y45" s="9" t="e">
        <f t="shared" si="17"/>
        <v>#DIV/0!</v>
      </c>
      <c r="Z45" s="5">
        <f t="shared" si="0"/>
        <v>0</v>
      </c>
      <c r="AA45" s="10" t="e">
        <f t="shared" si="2"/>
        <v>#DIV/0!</v>
      </c>
    </row>
    <row r="46" spans="1:27">
      <c r="A46" s="3" t="s">
        <v>52</v>
      </c>
      <c r="B46" s="5">
        <f>3540</f>
        <v>3540</v>
      </c>
      <c r="C46" s="9">
        <f t="shared" si="22"/>
        <v>0.19330530224430731</v>
      </c>
      <c r="D46" s="5">
        <f>1557.5</f>
        <v>1557.5</v>
      </c>
      <c r="E46" s="9">
        <f t="shared" si="7"/>
        <v>8.5048872385736912E-2</v>
      </c>
      <c r="F46" s="5">
        <f>2500</f>
        <v>2500</v>
      </c>
      <c r="G46" s="9">
        <f t="shared" si="8"/>
        <v>0.13651504395784417</v>
      </c>
      <c r="H46" s="5">
        <f>-2500</f>
        <v>-2500</v>
      </c>
      <c r="I46" s="9">
        <f t="shared" si="9"/>
        <v>-0.13651504395784417</v>
      </c>
      <c r="J46" s="4"/>
      <c r="K46" s="9">
        <f t="shared" si="10"/>
        <v>0</v>
      </c>
      <c r="L46" s="5">
        <f>3750</f>
        <v>3750</v>
      </c>
      <c r="M46" s="9">
        <f t="shared" si="11"/>
        <v>0.20477256593676624</v>
      </c>
      <c r="N46" s="5">
        <f>5450</f>
        <v>5450</v>
      </c>
      <c r="O46" s="9">
        <f t="shared" si="12"/>
        <v>0.29760279582810023</v>
      </c>
      <c r="P46" s="5">
        <f>4015.5</f>
        <v>4015.5</v>
      </c>
      <c r="Q46" s="9">
        <f t="shared" si="13"/>
        <v>0.21927046360508928</v>
      </c>
      <c r="R46" s="4"/>
      <c r="S46" s="9">
        <f t="shared" si="14"/>
        <v>0</v>
      </c>
      <c r="T46" s="4"/>
      <c r="U46" s="9">
        <f t="shared" si="15"/>
        <v>0</v>
      </c>
      <c r="V46" s="4"/>
      <c r="W46" s="9">
        <f t="shared" si="16"/>
        <v>0</v>
      </c>
      <c r="X46" s="4"/>
      <c r="Y46" s="9">
        <f t="shared" si="17"/>
        <v>0</v>
      </c>
      <c r="Z46" s="5">
        <f t="shared" si="0"/>
        <v>18313</v>
      </c>
      <c r="AA46" s="10">
        <f t="shared" si="2"/>
        <v>1</v>
      </c>
    </row>
    <row r="47" spans="1:27">
      <c r="A47" s="3" t="s">
        <v>53</v>
      </c>
      <c r="B47" s="4"/>
      <c r="C47" s="9">
        <f t="shared" si="22"/>
        <v>0</v>
      </c>
      <c r="D47" s="4"/>
      <c r="E47" s="9">
        <f t="shared" si="7"/>
        <v>0</v>
      </c>
      <c r="F47" s="5">
        <f>-1050</f>
        <v>-1050</v>
      </c>
      <c r="G47" s="9">
        <f t="shared" si="8"/>
        <v>1</v>
      </c>
      <c r="H47" s="4"/>
      <c r="I47" s="9">
        <f t="shared" si="9"/>
        <v>0</v>
      </c>
      <c r="J47" s="4"/>
      <c r="K47" s="9">
        <f t="shared" si="10"/>
        <v>0</v>
      </c>
      <c r="L47" s="4"/>
      <c r="M47" s="9">
        <f t="shared" si="11"/>
        <v>0</v>
      </c>
      <c r="N47" s="4"/>
      <c r="O47" s="9">
        <f t="shared" si="12"/>
        <v>0</v>
      </c>
      <c r="P47" s="4"/>
      <c r="Q47" s="9">
        <f t="shared" si="13"/>
        <v>0</v>
      </c>
      <c r="R47" s="4"/>
      <c r="S47" s="9">
        <f t="shared" si="14"/>
        <v>0</v>
      </c>
      <c r="T47" s="4"/>
      <c r="U47" s="9">
        <f t="shared" si="15"/>
        <v>0</v>
      </c>
      <c r="V47" s="4"/>
      <c r="W47" s="9">
        <f t="shared" si="16"/>
        <v>0</v>
      </c>
      <c r="X47" s="4"/>
      <c r="Y47" s="9">
        <f t="shared" si="17"/>
        <v>0</v>
      </c>
      <c r="Z47" s="5">
        <f t="shared" si="0"/>
        <v>-1050</v>
      </c>
      <c r="AA47" s="10">
        <f t="shared" si="2"/>
        <v>1</v>
      </c>
    </row>
    <row r="48" spans="1:27">
      <c r="A48" s="3" t="s">
        <v>54</v>
      </c>
      <c r="B48" s="6">
        <f t="shared" ref="B48:X48" si="25">(B46)+(B47)</f>
        <v>3540</v>
      </c>
      <c r="C48" s="9">
        <f t="shared" si="22"/>
        <v>0.20506285118461448</v>
      </c>
      <c r="D48" s="6">
        <f t="shared" si="25"/>
        <v>1557.5</v>
      </c>
      <c r="E48" s="9">
        <f t="shared" si="7"/>
        <v>9.0221861785321211E-2</v>
      </c>
      <c r="F48" s="6">
        <f t="shared" si="25"/>
        <v>1450</v>
      </c>
      <c r="G48" s="9">
        <f t="shared" si="8"/>
        <v>8.3994670682963568E-2</v>
      </c>
      <c r="H48" s="6">
        <f t="shared" si="25"/>
        <v>-2500</v>
      </c>
      <c r="I48" s="9">
        <f t="shared" si="9"/>
        <v>-0.14481839772924751</v>
      </c>
      <c r="J48" s="6">
        <f t="shared" si="25"/>
        <v>0</v>
      </c>
      <c r="K48" s="9">
        <f t="shared" si="10"/>
        <v>0</v>
      </c>
      <c r="L48" s="6">
        <f t="shared" si="25"/>
        <v>3750</v>
      </c>
      <c r="M48" s="9">
        <f t="shared" si="11"/>
        <v>0.21722759659387128</v>
      </c>
      <c r="N48" s="6">
        <f t="shared" si="25"/>
        <v>5450</v>
      </c>
      <c r="O48" s="9">
        <f t="shared" si="12"/>
        <v>0.3157041070497596</v>
      </c>
      <c r="P48" s="6">
        <f t="shared" si="25"/>
        <v>4015.5</v>
      </c>
      <c r="Q48" s="9">
        <f t="shared" si="13"/>
        <v>0.23260731043271737</v>
      </c>
      <c r="R48" s="6">
        <f t="shared" si="25"/>
        <v>0</v>
      </c>
      <c r="S48" s="9">
        <f t="shared" si="14"/>
        <v>0</v>
      </c>
      <c r="T48" s="6">
        <f t="shared" si="25"/>
        <v>0</v>
      </c>
      <c r="U48" s="9">
        <f t="shared" si="15"/>
        <v>0</v>
      </c>
      <c r="V48" s="6">
        <f t="shared" si="25"/>
        <v>0</v>
      </c>
      <c r="W48" s="9">
        <f t="shared" si="16"/>
        <v>0</v>
      </c>
      <c r="X48" s="6">
        <f t="shared" si="25"/>
        <v>0</v>
      </c>
      <c r="Y48" s="9">
        <f t="shared" si="17"/>
        <v>0</v>
      </c>
      <c r="Z48" s="6">
        <f t="shared" si="0"/>
        <v>17263</v>
      </c>
      <c r="AA48" s="10">
        <f t="shared" si="2"/>
        <v>1</v>
      </c>
    </row>
    <row r="49" spans="1:27">
      <c r="A49" s="3" t="s">
        <v>55</v>
      </c>
      <c r="B49" s="4"/>
      <c r="C49" s="9">
        <f t="shared" si="22"/>
        <v>0</v>
      </c>
      <c r="D49" s="5">
        <f>150</f>
        <v>150</v>
      </c>
      <c r="E49" s="9">
        <f t="shared" si="7"/>
        <v>0.16216216216216217</v>
      </c>
      <c r="F49" s="4"/>
      <c r="G49" s="9">
        <f t="shared" si="8"/>
        <v>0</v>
      </c>
      <c r="H49" s="5">
        <f>625</f>
        <v>625</v>
      </c>
      <c r="I49" s="9">
        <f t="shared" si="9"/>
        <v>0.67567567567567566</v>
      </c>
      <c r="J49" s="4"/>
      <c r="K49" s="9">
        <f t="shared" si="10"/>
        <v>0</v>
      </c>
      <c r="L49" s="5">
        <f>150</f>
        <v>150</v>
      </c>
      <c r="M49" s="9">
        <f t="shared" si="11"/>
        <v>0.16216216216216217</v>
      </c>
      <c r="N49" s="4"/>
      <c r="O49" s="9">
        <f t="shared" si="12"/>
        <v>0</v>
      </c>
      <c r="P49" s="4"/>
      <c r="Q49" s="9">
        <f t="shared" si="13"/>
        <v>0</v>
      </c>
      <c r="R49" s="4"/>
      <c r="S49" s="9">
        <f t="shared" si="14"/>
        <v>0</v>
      </c>
      <c r="T49" s="4"/>
      <c r="U49" s="9">
        <f t="shared" si="15"/>
        <v>0</v>
      </c>
      <c r="V49" s="4"/>
      <c r="W49" s="9">
        <f t="shared" si="16"/>
        <v>0</v>
      </c>
      <c r="X49" s="4"/>
      <c r="Y49" s="9">
        <f t="shared" si="17"/>
        <v>0</v>
      </c>
      <c r="Z49" s="5">
        <f t="shared" si="0"/>
        <v>925</v>
      </c>
      <c r="AA49" s="10">
        <f t="shared" si="2"/>
        <v>1</v>
      </c>
    </row>
    <row r="50" spans="1:27">
      <c r="A50" s="3" t="s">
        <v>56</v>
      </c>
      <c r="B50" s="5">
        <f t="shared" ref="B50:X50" si="26">776.46</f>
        <v>776.46</v>
      </c>
      <c r="C50" s="9">
        <f t="shared" si="22"/>
        <v>8.3333333333333329E-2</v>
      </c>
      <c r="D50" s="5">
        <f t="shared" si="26"/>
        <v>776.46</v>
      </c>
      <c r="E50" s="9">
        <f t="shared" si="7"/>
        <v>8.3333333333333329E-2</v>
      </c>
      <c r="F50" s="5">
        <f t="shared" si="26"/>
        <v>776.46</v>
      </c>
      <c r="G50" s="9">
        <f t="shared" si="8"/>
        <v>8.3333333333333329E-2</v>
      </c>
      <c r="H50" s="5">
        <f t="shared" si="26"/>
        <v>776.46</v>
      </c>
      <c r="I50" s="9">
        <f t="shared" si="9"/>
        <v>8.3333333333333329E-2</v>
      </c>
      <c r="J50" s="5">
        <f t="shared" si="26"/>
        <v>776.46</v>
      </c>
      <c r="K50" s="9">
        <f t="shared" si="10"/>
        <v>8.3333333333333329E-2</v>
      </c>
      <c r="L50" s="5">
        <f t="shared" si="26"/>
        <v>776.46</v>
      </c>
      <c r="M50" s="9">
        <f t="shared" si="11"/>
        <v>8.3333333333333329E-2</v>
      </c>
      <c r="N50" s="5">
        <f t="shared" si="26"/>
        <v>776.46</v>
      </c>
      <c r="O50" s="9">
        <f t="shared" si="12"/>
        <v>8.3333333333333329E-2</v>
      </c>
      <c r="P50" s="5">
        <f t="shared" si="26"/>
        <v>776.46</v>
      </c>
      <c r="Q50" s="9">
        <f t="shared" si="13"/>
        <v>8.3333333333333329E-2</v>
      </c>
      <c r="R50" s="5">
        <f t="shared" si="26"/>
        <v>776.46</v>
      </c>
      <c r="S50" s="9">
        <f t="shared" si="14"/>
        <v>8.3333333333333329E-2</v>
      </c>
      <c r="T50" s="5">
        <f t="shared" si="26"/>
        <v>776.46</v>
      </c>
      <c r="U50" s="9">
        <f t="shared" si="15"/>
        <v>8.3333333333333329E-2</v>
      </c>
      <c r="V50" s="5">
        <f t="shared" si="26"/>
        <v>776.46</v>
      </c>
      <c r="W50" s="9">
        <f t="shared" si="16"/>
        <v>8.3333333333333329E-2</v>
      </c>
      <c r="X50" s="5">
        <f t="shared" si="26"/>
        <v>776.46</v>
      </c>
      <c r="Y50" s="9">
        <f t="shared" si="17"/>
        <v>8.3333333333333329E-2</v>
      </c>
      <c r="Z50" s="5">
        <f t="shared" si="0"/>
        <v>9317.52</v>
      </c>
      <c r="AA50" s="10">
        <f t="shared" si="2"/>
        <v>1</v>
      </c>
    </row>
    <row r="51" spans="1:27">
      <c r="A51" s="3" t="s">
        <v>57</v>
      </c>
      <c r="B51" s="6">
        <f t="shared" ref="B51:X51" si="27">(((B45)+(B48))+(B49))+(B50)</f>
        <v>4316.46</v>
      </c>
      <c r="C51" s="9">
        <f t="shared" si="22"/>
        <v>0.15693068155046699</v>
      </c>
      <c r="D51" s="6">
        <f t="shared" si="27"/>
        <v>2483.96</v>
      </c>
      <c r="E51" s="9">
        <f t="shared" si="7"/>
        <v>9.030769096530443E-2</v>
      </c>
      <c r="F51" s="6">
        <f t="shared" si="27"/>
        <v>2226.46</v>
      </c>
      <c r="G51" s="9">
        <f t="shared" si="8"/>
        <v>8.0945933761659483E-2</v>
      </c>
      <c r="H51" s="6">
        <f t="shared" si="27"/>
        <v>-1098.54</v>
      </c>
      <c r="I51" s="9">
        <f t="shared" si="9"/>
        <v>-3.9938892265988797E-2</v>
      </c>
      <c r="J51" s="6">
        <f t="shared" si="27"/>
        <v>776.46</v>
      </c>
      <c r="K51" s="9">
        <f t="shared" si="10"/>
        <v>2.8229242712008357E-2</v>
      </c>
      <c r="L51" s="6">
        <f t="shared" si="27"/>
        <v>4676.46</v>
      </c>
      <c r="M51" s="9">
        <f t="shared" si="11"/>
        <v>0.17001896346624243</v>
      </c>
      <c r="N51" s="6">
        <f t="shared" si="27"/>
        <v>6226.46</v>
      </c>
      <c r="O51" s="9">
        <f t="shared" si="12"/>
        <v>0.22637128838138676</v>
      </c>
      <c r="P51" s="6">
        <f t="shared" si="27"/>
        <v>4791.96</v>
      </c>
      <c r="Q51" s="9">
        <f t="shared" si="13"/>
        <v>0.17421812058088706</v>
      </c>
      <c r="R51" s="6">
        <f t="shared" si="27"/>
        <v>776.46</v>
      </c>
      <c r="S51" s="9">
        <f t="shared" si="14"/>
        <v>2.8229242712008357E-2</v>
      </c>
      <c r="T51" s="6">
        <f t="shared" si="27"/>
        <v>776.46</v>
      </c>
      <c r="U51" s="9">
        <f t="shared" si="15"/>
        <v>2.8229242712008357E-2</v>
      </c>
      <c r="V51" s="6">
        <f t="shared" si="27"/>
        <v>776.46</v>
      </c>
      <c r="W51" s="9">
        <f t="shared" si="16"/>
        <v>2.8229242712008357E-2</v>
      </c>
      <c r="X51" s="6">
        <f t="shared" si="27"/>
        <v>776.46</v>
      </c>
      <c r="Y51" s="9">
        <f t="shared" si="17"/>
        <v>2.8229242712008357E-2</v>
      </c>
      <c r="Z51" s="6">
        <f t="shared" si="0"/>
        <v>27505.519999999997</v>
      </c>
      <c r="AA51" s="10">
        <f t="shared" si="2"/>
        <v>1</v>
      </c>
    </row>
    <row r="52" spans="1:27">
      <c r="A52" s="3" t="s">
        <v>58</v>
      </c>
      <c r="B52" s="4"/>
      <c r="C52" s="9" t="e">
        <f t="shared" si="22"/>
        <v>#DIV/0!</v>
      </c>
      <c r="D52" s="4"/>
      <c r="E52" s="9" t="e">
        <f t="shared" si="7"/>
        <v>#DIV/0!</v>
      </c>
      <c r="F52" s="4"/>
      <c r="G52" s="9" t="e">
        <f t="shared" si="8"/>
        <v>#DIV/0!</v>
      </c>
      <c r="H52" s="4"/>
      <c r="I52" s="9" t="e">
        <f t="shared" si="9"/>
        <v>#DIV/0!</v>
      </c>
      <c r="J52" s="4"/>
      <c r="K52" s="9" t="e">
        <f t="shared" si="10"/>
        <v>#DIV/0!</v>
      </c>
      <c r="L52" s="4"/>
      <c r="M52" s="9" t="e">
        <f t="shared" si="11"/>
        <v>#DIV/0!</v>
      </c>
      <c r="N52" s="4"/>
      <c r="O52" s="9" t="e">
        <f t="shared" si="12"/>
        <v>#DIV/0!</v>
      </c>
      <c r="P52" s="4"/>
      <c r="Q52" s="9" t="e">
        <f t="shared" si="13"/>
        <v>#DIV/0!</v>
      </c>
      <c r="R52" s="4"/>
      <c r="S52" s="9" t="e">
        <f t="shared" si="14"/>
        <v>#DIV/0!</v>
      </c>
      <c r="T52" s="4"/>
      <c r="U52" s="9" t="e">
        <f t="shared" si="15"/>
        <v>#DIV/0!</v>
      </c>
      <c r="V52" s="4"/>
      <c r="W52" s="9" t="e">
        <f t="shared" si="16"/>
        <v>#DIV/0!</v>
      </c>
      <c r="X52" s="4"/>
      <c r="Y52" s="9" t="e">
        <f t="shared" si="17"/>
        <v>#DIV/0!</v>
      </c>
      <c r="Z52" s="5">
        <f t="shared" si="0"/>
        <v>0</v>
      </c>
      <c r="AA52" s="10" t="e">
        <f t="shared" si="2"/>
        <v>#DIV/0!</v>
      </c>
    </row>
    <row r="53" spans="1:27">
      <c r="A53" s="3" t="s">
        <v>59</v>
      </c>
      <c r="B53" s="4"/>
      <c r="C53" s="9">
        <f t="shared" si="22"/>
        <v>0</v>
      </c>
      <c r="D53" s="5">
        <f>0</f>
        <v>0</v>
      </c>
      <c r="E53" s="9">
        <f t="shared" si="7"/>
        <v>0</v>
      </c>
      <c r="F53" s="5">
        <f>100</f>
        <v>100</v>
      </c>
      <c r="G53" s="9">
        <f t="shared" si="8"/>
        <v>1</v>
      </c>
      <c r="H53" s="4"/>
      <c r="I53" s="9">
        <f t="shared" si="9"/>
        <v>0</v>
      </c>
      <c r="J53" s="4"/>
      <c r="K53" s="9">
        <f t="shared" si="10"/>
        <v>0</v>
      </c>
      <c r="L53" s="4"/>
      <c r="M53" s="9">
        <f t="shared" si="11"/>
        <v>0</v>
      </c>
      <c r="N53" s="4"/>
      <c r="O53" s="9">
        <f t="shared" si="12"/>
        <v>0</v>
      </c>
      <c r="P53" s="4"/>
      <c r="Q53" s="9">
        <f t="shared" si="13"/>
        <v>0</v>
      </c>
      <c r="R53" s="4"/>
      <c r="S53" s="9">
        <f t="shared" si="14"/>
        <v>0</v>
      </c>
      <c r="T53" s="4"/>
      <c r="U53" s="9">
        <f t="shared" si="15"/>
        <v>0</v>
      </c>
      <c r="V53" s="4"/>
      <c r="W53" s="9">
        <f t="shared" si="16"/>
        <v>0</v>
      </c>
      <c r="X53" s="4"/>
      <c r="Y53" s="9">
        <f t="shared" si="17"/>
        <v>0</v>
      </c>
      <c r="Z53" s="5">
        <f t="shared" si="0"/>
        <v>100</v>
      </c>
      <c r="AA53" s="10">
        <f t="shared" si="2"/>
        <v>1</v>
      </c>
    </row>
    <row r="54" spans="1:27">
      <c r="A54" s="3" t="s">
        <v>60</v>
      </c>
      <c r="B54" s="6">
        <f t="shared" ref="B54:X54" si="28">(B52)+(B53)</f>
        <v>0</v>
      </c>
      <c r="C54" s="9">
        <f t="shared" si="22"/>
        <v>0</v>
      </c>
      <c r="D54" s="6">
        <f t="shared" si="28"/>
        <v>0</v>
      </c>
      <c r="E54" s="9">
        <f t="shared" si="7"/>
        <v>0</v>
      </c>
      <c r="F54" s="6">
        <f t="shared" si="28"/>
        <v>100</v>
      </c>
      <c r="G54" s="9">
        <f t="shared" si="8"/>
        <v>1</v>
      </c>
      <c r="H54" s="6">
        <f t="shared" si="28"/>
        <v>0</v>
      </c>
      <c r="I54" s="9">
        <f t="shared" si="9"/>
        <v>0</v>
      </c>
      <c r="J54" s="6">
        <f t="shared" si="28"/>
        <v>0</v>
      </c>
      <c r="K54" s="9">
        <f t="shared" si="10"/>
        <v>0</v>
      </c>
      <c r="L54" s="6">
        <f t="shared" si="28"/>
        <v>0</v>
      </c>
      <c r="M54" s="9">
        <f t="shared" si="11"/>
        <v>0</v>
      </c>
      <c r="N54" s="6">
        <f t="shared" si="28"/>
        <v>0</v>
      </c>
      <c r="O54" s="9">
        <f t="shared" si="12"/>
        <v>0</v>
      </c>
      <c r="P54" s="6">
        <f t="shared" si="28"/>
        <v>0</v>
      </c>
      <c r="Q54" s="9">
        <f t="shared" si="13"/>
        <v>0</v>
      </c>
      <c r="R54" s="6">
        <f t="shared" si="28"/>
        <v>0</v>
      </c>
      <c r="S54" s="9">
        <f t="shared" si="14"/>
        <v>0</v>
      </c>
      <c r="T54" s="6">
        <f t="shared" si="28"/>
        <v>0</v>
      </c>
      <c r="U54" s="9">
        <f t="shared" si="15"/>
        <v>0</v>
      </c>
      <c r="V54" s="6">
        <f t="shared" si="28"/>
        <v>0</v>
      </c>
      <c r="W54" s="9">
        <f t="shared" si="16"/>
        <v>0</v>
      </c>
      <c r="X54" s="6">
        <f t="shared" si="28"/>
        <v>0</v>
      </c>
      <c r="Y54" s="9">
        <f t="shared" si="17"/>
        <v>0</v>
      </c>
      <c r="Z54" s="6">
        <f t="shared" si="0"/>
        <v>100</v>
      </c>
      <c r="AA54" s="10">
        <f t="shared" si="2"/>
        <v>1</v>
      </c>
    </row>
    <row r="55" spans="1:27">
      <c r="A55" s="3" t="s">
        <v>61</v>
      </c>
      <c r="B55" s="4"/>
      <c r="C55" s="9" t="e">
        <f t="shared" si="22"/>
        <v>#DIV/0!</v>
      </c>
      <c r="D55" s="4"/>
      <c r="E55" s="9" t="e">
        <f t="shared" si="7"/>
        <v>#DIV/0!</v>
      </c>
      <c r="F55" s="4"/>
      <c r="G55" s="9" t="e">
        <f t="shared" si="8"/>
        <v>#DIV/0!</v>
      </c>
      <c r="H55" s="4"/>
      <c r="I55" s="9" t="e">
        <f t="shared" si="9"/>
        <v>#DIV/0!</v>
      </c>
      <c r="J55" s="4"/>
      <c r="K55" s="9" t="e">
        <f t="shared" si="10"/>
        <v>#DIV/0!</v>
      </c>
      <c r="L55" s="4"/>
      <c r="M55" s="9" t="e">
        <f t="shared" si="11"/>
        <v>#DIV/0!</v>
      </c>
      <c r="N55" s="4"/>
      <c r="O55" s="9" t="e">
        <f t="shared" si="12"/>
        <v>#DIV/0!</v>
      </c>
      <c r="P55" s="4"/>
      <c r="Q55" s="9" t="e">
        <f t="shared" si="13"/>
        <v>#DIV/0!</v>
      </c>
      <c r="R55" s="4"/>
      <c r="S55" s="9" t="e">
        <f t="shared" si="14"/>
        <v>#DIV/0!</v>
      </c>
      <c r="T55" s="4"/>
      <c r="U55" s="9" t="e">
        <f t="shared" si="15"/>
        <v>#DIV/0!</v>
      </c>
      <c r="V55" s="4"/>
      <c r="W55" s="9" t="e">
        <f t="shared" si="16"/>
        <v>#DIV/0!</v>
      </c>
      <c r="X55" s="4"/>
      <c r="Y55" s="9" t="e">
        <f t="shared" si="17"/>
        <v>#DIV/0!</v>
      </c>
      <c r="Z55" s="5">
        <f t="shared" si="0"/>
        <v>0</v>
      </c>
      <c r="AA55" s="10" t="e">
        <f t="shared" si="2"/>
        <v>#DIV/0!</v>
      </c>
    </row>
    <row r="56" spans="1:27">
      <c r="A56" s="3" t="s">
        <v>62</v>
      </c>
      <c r="B56" s="4"/>
      <c r="C56" s="9" t="e">
        <f t="shared" ref="C56:C71" si="29">B56/$Z56</f>
        <v>#DIV/0!</v>
      </c>
      <c r="D56" s="4"/>
      <c r="E56" s="9" t="e">
        <f t="shared" si="7"/>
        <v>#DIV/0!</v>
      </c>
      <c r="F56" s="4"/>
      <c r="G56" s="9" t="e">
        <f t="shared" si="8"/>
        <v>#DIV/0!</v>
      </c>
      <c r="H56" s="4"/>
      <c r="I56" s="9" t="e">
        <f t="shared" si="9"/>
        <v>#DIV/0!</v>
      </c>
      <c r="J56" s="4"/>
      <c r="K56" s="9" t="e">
        <f t="shared" si="10"/>
        <v>#DIV/0!</v>
      </c>
      <c r="L56" s="4"/>
      <c r="M56" s="9" t="e">
        <f t="shared" si="11"/>
        <v>#DIV/0!</v>
      </c>
      <c r="N56" s="4"/>
      <c r="O56" s="9" t="e">
        <f t="shared" si="12"/>
        <v>#DIV/0!</v>
      </c>
      <c r="P56" s="4"/>
      <c r="Q56" s="9" t="e">
        <f t="shared" si="13"/>
        <v>#DIV/0!</v>
      </c>
      <c r="R56" s="4"/>
      <c r="S56" s="9" t="e">
        <f t="shared" si="14"/>
        <v>#DIV/0!</v>
      </c>
      <c r="T56" s="4"/>
      <c r="U56" s="9" t="e">
        <f t="shared" si="15"/>
        <v>#DIV/0!</v>
      </c>
      <c r="V56" s="4"/>
      <c r="W56" s="9" t="e">
        <f t="shared" si="16"/>
        <v>#DIV/0!</v>
      </c>
      <c r="X56" s="4"/>
      <c r="Y56" s="9" t="e">
        <f t="shared" si="17"/>
        <v>#DIV/0!</v>
      </c>
      <c r="Z56" s="5">
        <f t="shared" si="0"/>
        <v>0</v>
      </c>
      <c r="AA56" s="10" t="e">
        <f t="shared" si="2"/>
        <v>#DIV/0!</v>
      </c>
    </row>
    <row r="57" spans="1:27">
      <c r="A57" s="3" t="s">
        <v>63</v>
      </c>
      <c r="B57" s="4"/>
      <c r="C57" s="9">
        <f t="shared" si="29"/>
        <v>0</v>
      </c>
      <c r="D57" s="4"/>
      <c r="E57" s="9">
        <f t="shared" si="7"/>
        <v>0</v>
      </c>
      <c r="F57" s="5">
        <f>150</f>
        <v>150</v>
      </c>
      <c r="G57" s="9">
        <f t="shared" si="8"/>
        <v>9.5238095238095233E-2</v>
      </c>
      <c r="H57" s="5">
        <f>1200</f>
        <v>1200</v>
      </c>
      <c r="I57" s="9">
        <f t="shared" si="9"/>
        <v>0.76190476190476186</v>
      </c>
      <c r="J57" s="5">
        <f>150</f>
        <v>150</v>
      </c>
      <c r="K57" s="9">
        <f t="shared" si="10"/>
        <v>9.5238095238095233E-2</v>
      </c>
      <c r="L57" s="5">
        <f>75</f>
        <v>75</v>
      </c>
      <c r="M57" s="9">
        <f t="shared" si="11"/>
        <v>4.7619047619047616E-2</v>
      </c>
      <c r="N57" s="4"/>
      <c r="O57" s="9">
        <f t="shared" si="12"/>
        <v>0</v>
      </c>
      <c r="P57" s="4"/>
      <c r="Q57" s="9">
        <f t="shared" si="13"/>
        <v>0</v>
      </c>
      <c r="R57" s="4"/>
      <c r="S57" s="9">
        <f t="shared" si="14"/>
        <v>0</v>
      </c>
      <c r="T57" s="4"/>
      <c r="U57" s="9">
        <f t="shared" si="15"/>
        <v>0</v>
      </c>
      <c r="V57" s="4"/>
      <c r="W57" s="9">
        <f t="shared" si="16"/>
        <v>0</v>
      </c>
      <c r="X57" s="4"/>
      <c r="Y57" s="9">
        <f t="shared" si="17"/>
        <v>0</v>
      </c>
      <c r="Z57" s="5">
        <f t="shared" si="0"/>
        <v>1575</v>
      </c>
      <c r="AA57" s="10">
        <f t="shared" si="2"/>
        <v>1</v>
      </c>
    </row>
    <row r="58" spans="1:27">
      <c r="A58" s="3" t="s">
        <v>64</v>
      </c>
      <c r="B58" s="5">
        <f>300</f>
        <v>300</v>
      </c>
      <c r="C58" s="9">
        <f t="shared" si="29"/>
        <v>0.30769230769230771</v>
      </c>
      <c r="D58" s="4"/>
      <c r="E58" s="9">
        <f t="shared" si="7"/>
        <v>0</v>
      </c>
      <c r="F58" s="4"/>
      <c r="G58" s="9">
        <f t="shared" si="8"/>
        <v>0</v>
      </c>
      <c r="H58" s="5">
        <f>225</f>
        <v>225</v>
      </c>
      <c r="I58" s="9">
        <f t="shared" si="9"/>
        <v>0.23076923076923078</v>
      </c>
      <c r="J58" s="5">
        <f>300</f>
        <v>300</v>
      </c>
      <c r="K58" s="9">
        <f t="shared" si="10"/>
        <v>0.30769230769230771</v>
      </c>
      <c r="L58" s="5">
        <f>150</f>
        <v>150</v>
      </c>
      <c r="M58" s="9">
        <f t="shared" si="11"/>
        <v>0.15384615384615385</v>
      </c>
      <c r="N58" s="4"/>
      <c r="O58" s="9">
        <f t="shared" si="12"/>
        <v>0</v>
      </c>
      <c r="P58" s="4"/>
      <c r="Q58" s="9">
        <f t="shared" si="13"/>
        <v>0</v>
      </c>
      <c r="R58" s="4"/>
      <c r="S58" s="9">
        <f t="shared" si="14"/>
        <v>0</v>
      </c>
      <c r="T58" s="4"/>
      <c r="U58" s="9">
        <f t="shared" si="15"/>
        <v>0</v>
      </c>
      <c r="V58" s="4"/>
      <c r="W58" s="9">
        <f t="shared" si="16"/>
        <v>0</v>
      </c>
      <c r="X58" s="4"/>
      <c r="Y58" s="9">
        <f t="shared" si="17"/>
        <v>0</v>
      </c>
      <c r="Z58" s="5">
        <f t="shared" si="0"/>
        <v>975</v>
      </c>
      <c r="AA58" s="10">
        <f t="shared" si="2"/>
        <v>1</v>
      </c>
    </row>
    <row r="59" spans="1:27">
      <c r="A59" s="3" t="s">
        <v>65</v>
      </c>
      <c r="B59" s="5">
        <f>-315.9</f>
        <v>-315.89999999999998</v>
      </c>
      <c r="C59" s="9">
        <f t="shared" si="29"/>
        <v>0.21335656684361956</v>
      </c>
      <c r="D59" s="4"/>
      <c r="E59" s="9">
        <f t="shared" si="7"/>
        <v>0</v>
      </c>
      <c r="F59" s="5">
        <f>-45.45</f>
        <v>-45.45</v>
      </c>
      <c r="G59" s="9">
        <f t="shared" si="8"/>
        <v>3.069660007294242E-2</v>
      </c>
      <c r="H59" s="5">
        <f>-115.66</f>
        <v>-115.66</v>
      </c>
      <c r="I59" s="9">
        <f t="shared" si="9"/>
        <v>7.8115924410044446E-2</v>
      </c>
      <c r="J59" s="5">
        <f>-212.71</f>
        <v>-212.71</v>
      </c>
      <c r="K59" s="9">
        <f t="shared" si="10"/>
        <v>0.14366278991233403</v>
      </c>
      <c r="L59" s="5">
        <f>-315.9</f>
        <v>-315.89999999999998</v>
      </c>
      <c r="M59" s="9">
        <f t="shared" si="11"/>
        <v>0.21335656684361956</v>
      </c>
      <c r="N59" s="4"/>
      <c r="O59" s="9">
        <f t="shared" si="12"/>
        <v>0</v>
      </c>
      <c r="P59" s="4"/>
      <c r="Q59" s="9">
        <f t="shared" si="13"/>
        <v>0</v>
      </c>
      <c r="R59" s="4"/>
      <c r="S59" s="9">
        <f t="shared" si="14"/>
        <v>0</v>
      </c>
      <c r="T59" s="4"/>
      <c r="U59" s="9">
        <f t="shared" si="15"/>
        <v>0</v>
      </c>
      <c r="V59" s="5">
        <f>-475</f>
        <v>-475</v>
      </c>
      <c r="W59" s="9">
        <f t="shared" si="16"/>
        <v>0.32081155191744004</v>
      </c>
      <c r="X59" s="4"/>
      <c r="Y59" s="9">
        <f t="shared" si="17"/>
        <v>0</v>
      </c>
      <c r="Z59" s="5">
        <f t="shared" si="0"/>
        <v>-1480.62</v>
      </c>
      <c r="AA59" s="10">
        <f t="shared" si="2"/>
        <v>1</v>
      </c>
    </row>
    <row r="60" spans="1:27">
      <c r="A60" s="3" t="s">
        <v>66</v>
      </c>
      <c r="B60" s="6">
        <f t="shared" ref="B60:X60" si="30">(((B56)+(B57))+(B58))+(B59)</f>
        <v>-15.899999999999977</v>
      </c>
      <c r="C60" s="9">
        <f t="shared" si="29"/>
        <v>-1.4868428435168019E-2</v>
      </c>
      <c r="D60" s="6">
        <f t="shared" si="30"/>
        <v>0</v>
      </c>
      <c r="E60" s="9">
        <f t="shared" si="7"/>
        <v>0</v>
      </c>
      <c r="F60" s="6">
        <f t="shared" si="30"/>
        <v>104.55</v>
      </c>
      <c r="G60" s="9">
        <f t="shared" si="8"/>
        <v>9.7766930370869087E-2</v>
      </c>
      <c r="H60" s="6">
        <f t="shared" si="30"/>
        <v>1309.3399999999999</v>
      </c>
      <c r="I60" s="9">
        <f t="shared" si="9"/>
        <v>1.2243917036039573</v>
      </c>
      <c r="J60" s="6">
        <f t="shared" si="30"/>
        <v>237.29</v>
      </c>
      <c r="K60" s="9">
        <f t="shared" si="10"/>
        <v>0.22189492977239145</v>
      </c>
      <c r="L60" s="6">
        <f t="shared" si="30"/>
        <v>-90.899999999999977</v>
      </c>
      <c r="M60" s="9">
        <f t="shared" si="11"/>
        <v>-8.5002524827470088E-2</v>
      </c>
      <c r="N60" s="6">
        <f t="shared" si="30"/>
        <v>0</v>
      </c>
      <c r="O60" s="9">
        <f t="shared" si="12"/>
        <v>0</v>
      </c>
      <c r="P60" s="6">
        <f t="shared" si="30"/>
        <v>0</v>
      </c>
      <c r="Q60" s="9">
        <f t="shared" si="13"/>
        <v>0</v>
      </c>
      <c r="R60" s="6">
        <f t="shared" si="30"/>
        <v>0</v>
      </c>
      <c r="S60" s="9">
        <f t="shared" si="14"/>
        <v>0</v>
      </c>
      <c r="T60" s="6">
        <f t="shared" si="30"/>
        <v>0</v>
      </c>
      <c r="U60" s="9">
        <f t="shared" si="15"/>
        <v>0</v>
      </c>
      <c r="V60" s="6">
        <f t="shared" si="30"/>
        <v>-475</v>
      </c>
      <c r="W60" s="9">
        <f t="shared" si="16"/>
        <v>-0.4441826104845798</v>
      </c>
      <c r="X60" s="6">
        <f t="shared" si="30"/>
        <v>0</v>
      </c>
      <c r="Y60" s="9">
        <f t="shared" si="17"/>
        <v>0</v>
      </c>
      <c r="Z60" s="6">
        <f t="shared" si="0"/>
        <v>1069.3800000000001</v>
      </c>
      <c r="AA60" s="10">
        <f t="shared" si="2"/>
        <v>1</v>
      </c>
    </row>
    <row r="61" spans="1:27">
      <c r="A61" s="3" t="s">
        <v>67</v>
      </c>
      <c r="B61" s="4"/>
      <c r="C61" s="9" t="e">
        <f t="shared" si="29"/>
        <v>#DIV/0!</v>
      </c>
      <c r="D61" s="4"/>
      <c r="E61" s="9" t="e">
        <f t="shared" si="7"/>
        <v>#DIV/0!</v>
      </c>
      <c r="F61" s="4"/>
      <c r="G61" s="9" t="e">
        <f t="shared" si="8"/>
        <v>#DIV/0!</v>
      </c>
      <c r="H61" s="4"/>
      <c r="I61" s="9" t="e">
        <f t="shared" si="9"/>
        <v>#DIV/0!</v>
      </c>
      <c r="J61" s="4"/>
      <c r="K61" s="9" t="e">
        <f t="shared" si="10"/>
        <v>#DIV/0!</v>
      </c>
      <c r="L61" s="4"/>
      <c r="M61" s="9" t="e">
        <f t="shared" si="11"/>
        <v>#DIV/0!</v>
      </c>
      <c r="N61" s="4"/>
      <c r="O61" s="9" t="e">
        <f t="shared" si="12"/>
        <v>#DIV/0!</v>
      </c>
      <c r="P61" s="4"/>
      <c r="Q61" s="9" t="e">
        <f t="shared" si="13"/>
        <v>#DIV/0!</v>
      </c>
      <c r="R61" s="4"/>
      <c r="S61" s="9" t="e">
        <f t="shared" si="14"/>
        <v>#DIV/0!</v>
      </c>
      <c r="T61" s="4"/>
      <c r="U61" s="9" t="e">
        <f t="shared" si="15"/>
        <v>#DIV/0!</v>
      </c>
      <c r="V61" s="4"/>
      <c r="W61" s="9" t="e">
        <f t="shared" si="16"/>
        <v>#DIV/0!</v>
      </c>
      <c r="X61" s="4"/>
      <c r="Y61" s="9" t="e">
        <f t="shared" si="17"/>
        <v>#DIV/0!</v>
      </c>
      <c r="Z61" s="5">
        <f t="shared" si="0"/>
        <v>0</v>
      </c>
      <c r="AA61" s="10" t="e">
        <f t="shared" si="2"/>
        <v>#DIV/0!</v>
      </c>
    </row>
    <row r="62" spans="1:27">
      <c r="A62" s="3" t="s">
        <v>68</v>
      </c>
      <c r="B62" s="4"/>
      <c r="C62" s="9">
        <f t="shared" si="29"/>
        <v>0</v>
      </c>
      <c r="D62" s="5">
        <f>245</f>
        <v>245</v>
      </c>
      <c r="E62" s="9">
        <f t="shared" si="7"/>
        <v>3.6512667660208643E-2</v>
      </c>
      <c r="F62" s="5">
        <f>1610</f>
        <v>1610</v>
      </c>
      <c r="G62" s="9">
        <f t="shared" si="8"/>
        <v>0.23994038748137109</v>
      </c>
      <c r="H62" s="5">
        <f>70</f>
        <v>70</v>
      </c>
      <c r="I62" s="9">
        <f t="shared" si="9"/>
        <v>1.0432190760059613E-2</v>
      </c>
      <c r="J62" s="5">
        <f>700</f>
        <v>700</v>
      </c>
      <c r="K62" s="9">
        <f t="shared" si="10"/>
        <v>0.10432190760059612</v>
      </c>
      <c r="L62" s="5">
        <f>1085</f>
        <v>1085</v>
      </c>
      <c r="M62" s="9">
        <f t="shared" si="11"/>
        <v>0.161698956780924</v>
      </c>
      <c r="N62" s="5">
        <f>35</f>
        <v>35</v>
      </c>
      <c r="O62" s="9">
        <f t="shared" si="12"/>
        <v>5.2160953800298067E-3</v>
      </c>
      <c r="P62" s="5">
        <f>585</f>
        <v>585</v>
      </c>
      <c r="Q62" s="9">
        <f t="shared" si="13"/>
        <v>8.7183308494783909E-2</v>
      </c>
      <c r="R62" s="5">
        <f>875</f>
        <v>875</v>
      </c>
      <c r="S62" s="9">
        <f t="shared" si="14"/>
        <v>0.13040238450074515</v>
      </c>
      <c r="T62" s="5">
        <f>70</f>
        <v>70</v>
      </c>
      <c r="U62" s="9">
        <f t="shared" si="15"/>
        <v>1.0432190760059613E-2</v>
      </c>
      <c r="V62" s="5">
        <f>1295</f>
        <v>1295</v>
      </c>
      <c r="W62" s="9">
        <f t="shared" si="16"/>
        <v>0.19299552906110284</v>
      </c>
      <c r="X62" s="5">
        <f>140</f>
        <v>140</v>
      </c>
      <c r="Y62" s="9">
        <f t="shared" si="17"/>
        <v>2.0864381520119227E-2</v>
      </c>
      <c r="Z62" s="5">
        <f t="shared" si="0"/>
        <v>6710</v>
      </c>
      <c r="AA62" s="10">
        <f t="shared" si="2"/>
        <v>1</v>
      </c>
    </row>
    <row r="63" spans="1:27">
      <c r="A63" s="3" t="s">
        <v>69</v>
      </c>
      <c r="B63" s="5">
        <f>425</f>
        <v>425</v>
      </c>
      <c r="C63" s="9">
        <f t="shared" si="29"/>
        <v>3.7037037037037035E-2</v>
      </c>
      <c r="D63" s="5">
        <f>5525</f>
        <v>5525</v>
      </c>
      <c r="E63" s="9">
        <f t="shared" si="7"/>
        <v>0.48148148148148145</v>
      </c>
      <c r="F63" s="5">
        <f>2250</f>
        <v>2250</v>
      </c>
      <c r="G63" s="9">
        <f t="shared" si="8"/>
        <v>0.19607843137254902</v>
      </c>
      <c r="H63" s="5">
        <f>425</f>
        <v>425</v>
      </c>
      <c r="I63" s="9">
        <f t="shared" si="9"/>
        <v>3.7037037037037035E-2</v>
      </c>
      <c r="J63" s="5">
        <f>575</f>
        <v>575</v>
      </c>
      <c r="K63" s="9">
        <f t="shared" si="10"/>
        <v>5.0108932461873638E-2</v>
      </c>
      <c r="L63" s="5">
        <f>850</f>
        <v>850</v>
      </c>
      <c r="M63" s="9">
        <f t="shared" si="11"/>
        <v>7.407407407407407E-2</v>
      </c>
      <c r="N63" s="4"/>
      <c r="O63" s="9">
        <f t="shared" si="12"/>
        <v>0</v>
      </c>
      <c r="P63" s="4"/>
      <c r="Q63" s="9">
        <f t="shared" si="13"/>
        <v>0</v>
      </c>
      <c r="R63" s="4"/>
      <c r="S63" s="9">
        <f t="shared" si="14"/>
        <v>0</v>
      </c>
      <c r="T63" s="4"/>
      <c r="U63" s="9">
        <f t="shared" si="15"/>
        <v>0</v>
      </c>
      <c r="V63" s="5">
        <f>850</f>
        <v>850</v>
      </c>
      <c r="W63" s="9">
        <f t="shared" si="16"/>
        <v>7.407407407407407E-2</v>
      </c>
      <c r="X63" s="5">
        <f>575</f>
        <v>575</v>
      </c>
      <c r="Y63" s="9">
        <f t="shared" si="17"/>
        <v>5.0108932461873638E-2</v>
      </c>
      <c r="Z63" s="5">
        <f t="shared" si="0"/>
        <v>11475</v>
      </c>
      <c r="AA63" s="10">
        <f t="shared" si="2"/>
        <v>1</v>
      </c>
    </row>
    <row r="64" spans="1:27">
      <c r="A64" s="3" t="s">
        <v>70</v>
      </c>
      <c r="B64" s="4"/>
      <c r="C64" s="9">
        <f t="shared" si="29"/>
        <v>0</v>
      </c>
      <c r="D64" s="4"/>
      <c r="E64" s="9">
        <f t="shared" si="7"/>
        <v>0</v>
      </c>
      <c r="F64" s="5">
        <f>-428.68</f>
        <v>-428.68</v>
      </c>
      <c r="G64" s="9">
        <f t="shared" si="8"/>
        <v>4.1561634698167212E-2</v>
      </c>
      <c r="H64" s="5">
        <f>-3782.93</f>
        <v>-3782.93</v>
      </c>
      <c r="I64" s="9">
        <f t="shared" si="9"/>
        <v>0.36676484731906706</v>
      </c>
      <c r="J64" s="5">
        <f>123.83</f>
        <v>123.83</v>
      </c>
      <c r="K64" s="9">
        <f t="shared" si="10"/>
        <v>-1.2005638762419626E-2</v>
      </c>
      <c r="L64" s="4"/>
      <c r="M64" s="9">
        <f t="shared" si="11"/>
        <v>0</v>
      </c>
      <c r="N64" s="5">
        <f>-2146.54</f>
        <v>-2146.54</v>
      </c>
      <c r="O64" s="9">
        <f t="shared" si="12"/>
        <v>0.20811260461184064</v>
      </c>
      <c r="P64" s="4"/>
      <c r="Q64" s="9">
        <f t="shared" si="13"/>
        <v>0</v>
      </c>
      <c r="R64" s="5">
        <f>-2750</f>
        <v>-2750</v>
      </c>
      <c r="S64" s="9">
        <f t="shared" si="14"/>
        <v>0.26661961234477893</v>
      </c>
      <c r="T64" s="4"/>
      <c r="U64" s="9">
        <f t="shared" si="15"/>
        <v>0</v>
      </c>
      <c r="V64" s="4"/>
      <c r="W64" s="9">
        <f t="shared" si="16"/>
        <v>0</v>
      </c>
      <c r="X64" s="5">
        <f>-1330</f>
        <v>-1330</v>
      </c>
      <c r="Y64" s="9">
        <f t="shared" si="17"/>
        <v>0.12894693978856581</v>
      </c>
      <c r="Z64" s="5">
        <f t="shared" si="0"/>
        <v>-10314.32</v>
      </c>
      <c r="AA64" s="10">
        <f t="shared" si="2"/>
        <v>1</v>
      </c>
    </row>
    <row r="65" spans="1:27">
      <c r="A65" s="3" t="s">
        <v>71</v>
      </c>
      <c r="B65" s="6">
        <f t="shared" ref="B65:X65" si="31">(((B61)+(B62))+(B63))+(B64)</f>
        <v>425</v>
      </c>
      <c r="C65" s="9">
        <f t="shared" si="29"/>
        <v>5.3997875660044617E-2</v>
      </c>
      <c r="D65" s="6">
        <f t="shared" si="31"/>
        <v>5770</v>
      </c>
      <c r="E65" s="9">
        <f t="shared" si="7"/>
        <v>0.73310057072578227</v>
      </c>
      <c r="F65" s="6">
        <f t="shared" si="31"/>
        <v>3431.32</v>
      </c>
      <c r="G65" s="9">
        <f t="shared" si="8"/>
        <v>0.43596233108193955</v>
      </c>
      <c r="H65" s="6">
        <f t="shared" si="31"/>
        <v>-3287.93</v>
      </c>
      <c r="I65" s="9">
        <f t="shared" si="9"/>
        <v>-0.41774408310336586</v>
      </c>
      <c r="J65" s="6">
        <f t="shared" si="31"/>
        <v>1398.83</v>
      </c>
      <c r="K65" s="9">
        <f t="shared" si="10"/>
        <v>0.17772670214009462</v>
      </c>
      <c r="L65" s="6">
        <f t="shared" si="31"/>
        <v>1935</v>
      </c>
      <c r="M65" s="9">
        <f t="shared" si="11"/>
        <v>0.24584915153455608</v>
      </c>
      <c r="N65" s="6">
        <f t="shared" si="31"/>
        <v>-2111.54</v>
      </c>
      <c r="O65" s="9">
        <f t="shared" si="12"/>
        <v>-0.26827923381461322</v>
      </c>
      <c r="P65" s="6">
        <f t="shared" si="31"/>
        <v>585</v>
      </c>
      <c r="Q65" s="9">
        <f t="shared" si="13"/>
        <v>7.4326487673237893E-2</v>
      </c>
      <c r="R65" s="6">
        <f t="shared" si="31"/>
        <v>-1875</v>
      </c>
      <c r="S65" s="9">
        <f t="shared" si="14"/>
        <v>-0.23822592202960863</v>
      </c>
      <c r="T65" s="6">
        <f t="shared" si="31"/>
        <v>70</v>
      </c>
      <c r="U65" s="9">
        <f t="shared" si="15"/>
        <v>8.8937677557720547E-3</v>
      </c>
      <c r="V65" s="6">
        <f t="shared" si="31"/>
        <v>2145</v>
      </c>
      <c r="W65" s="9">
        <f t="shared" si="16"/>
        <v>0.27253045480187227</v>
      </c>
      <c r="X65" s="6">
        <f t="shared" si="31"/>
        <v>-615</v>
      </c>
      <c r="Y65" s="9">
        <f t="shared" si="17"/>
        <v>-7.813810242571162E-2</v>
      </c>
      <c r="Z65" s="6">
        <f t="shared" si="0"/>
        <v>7870.68</v>
      </c>
      <c r="AA65" s="10">
        <f t="shared" si="2"/>
        <v>1</v>
      </c>
    </row>
    <row r="66" spans="1:27">
      <c r="A66" s="3" t="s">
        <v>72</v>
      </c>
      <c r="B66" s="4"/>
      <c r="C66" s="9" t="e">
        <f t="shared" si="29"/>
        <v>#DIV/0!</v>
      </c>
      <c r="D66" s="4"/>
      <c r="E66" s="9" t="e">
        <f t="shared" si="7"/>
        <v>#DIV/0!</v>
      </c>
      <c r="F66" s="4"/>
      <c r="G66" s="9" t="e">
        <f t="shared" si="8"/>
        <v>#DIV/0!</v>
      </c>
      <c r="H66" s="4"/>
      <c r="I66" s="9" t="e">
        <f t="shared" si="9"/>
        <v>#DIV/0!</v>
      </c>
      <c r="J66" s="4"/>
      <c r="K66" s="9" t="e">
        <f t="shared" si="10"/>
        <v>#DIV/0!</v>
      </c>
      <c r="L66" s="4"/>
      <c r="M66" s="9" t="e">
        <f t="shared" si="11"/>
        <v>#DIV/0!</v>
      </c>
      <c r="N66" s="4"/>
      <c r="O66" s="9" t="e">
        <f t="shared" si="12"/>
        <v>#DIV/0!</v>
      </c>
      <c r="P66" s="4"/>
      <c r="Q66" s="9" t="e">
        <f t="shared" si="13"/>
        <v>#DIV/0!</v>
      </c>
      <c r="R66" s="4"/>
      <c r="S66" s="9" t="e">
        <f t="shared" si="14"/>
        <v>#DIV/0!</v>
      </c>
      <c r="T66" s="4"/>
      <c r="U66" s="9" t="e">
        <f t="shared" si="15"/>
        <v>#DIV/0!</v>
      </c>
      <c r="V66" s="4"/>
      <c r="W66" s="9" t="e">
        <f t="shared" si="16"/>
        <v>#DIV/0!</v>
      </c>
      <c r="X66" s="4"/>
      <c r="Y66" s="9" t="e">
        <f t="shared" si="17"/>
        <v>#DIV/0!</v>
      </c>
      <c r="Z66" s="5">
        <f t="shared" si="0"/>
        <v>0</v>
      </c>
      <c r="AA66" s="10" t="e">
        <f t="shared" si="2"/>
        <v>#DIV/0!</v>
      </c>
    </row>
    <row r="67" spans="1:27">
      <c r="A67" s="3" t="s">
        <v>73</v>
      </c>
      <c r="B67" s="5">
        <f>450</f>
        <v>450</v>
      </c>
      <c r="C67" s="9">
        <f t="shared" si="29"/>
        <v>0.10727056019070322</v>
      </c>
      <c r="D67" s="5">
        <f>380</f>
        <v>380</v>
      </c>
      <c r="E67" s="9">
        <f t="shared" si="7"/>
        <v>9.0584028605482717E-2</v>
      </c>
      <c r="F67" s="5">
        <f>870</f>
        <v>870</v>
      </c>
      <c r="G67" s="9">
        <f t="shared" si="8"/>
        <v>0.20738974970202623</v>
      </c>
      <c r="H67" s="5">
        <f>485</f>
        <v>485</v>
      </c>
      <c r="I67" s="9">
        <f t="shared" si="9"/>
        <v>0.11561382598331346</v>
      </c>
      <c r="J67" s="5">
        <f>385</f>
        <v>385</v>
      </c>
      <c r="K67" s="9">
        <f t="shared" si="10"/>
        <v>9.1775923718712751E-2</v>
      </c>
      <c r="L67" s="5">
        <f>635</f>
        <v>635</v>
      </c>
      <c r="M67" s="9">
        <f t="shared" si="11"/>
        <v>0.15137067938021453</v>
      </c>
      <c r="N67" s="5">
        <f>175</f>
        <v>175</v>
      </c>
      <c r="O67" s="9">
        <f t="shared" si="12"/>
        <v>4.1716328963051254E-2</v>
      </c>
      <c r="P67" s="5">
        <f>40</f>
        <v>40</v>
      </c>
      <c r="Q67" s="9">
        <f t="shared" si="13"/>
        <v>9.5351609058402856E-3</v>
      </c>
      <c r="R67" s="5">
        <f>230</f>
        <v>230</v>
      </c>
      <c r="S67" s="9">
        <f t="shared" si="14"/>
        <v>5.4827175208581644E-2</v>
      </c>
      <c r="T67" s="5">
        <f>125</f>
        <v>125</v>
      </c>
      <c r="U67" s="9">
        <f t="shared" si="15"/>
        <v>2.9797377830750895E-2</v>
      </c>
      <c r="V67" s="5">
        <f>360</f>
        <v>360</v>
      </c>
      <c r="W67" s="9">
        <f t="shared" si="16"/>
        <v>8.5816448152562577E-2</v>
      </c>
      <c r="X67" s="5">
        <f>60</f>
        <v>60</v>
      </c>
      <c r="Y67" s="9">
        <f t="shared" si="17"/>
        <v>1.4302741358760428E-2</v>
      </c>
      <c r="Z67" s="5">
        <f t="shared" si="0"/>
        <v>4195</v>
      </c>
      <c r="AA67" s="10">
        <f t="shared" si="2"/>
        <v>1</v>
      </c>
    </row>
    <row r="68" spans="1:27">
      <c r="A68" s="3" t="s">
        <v>74</v>
      </c>
      <c r="B68" s="4"/>
      <c r="C68" s="9">
        <f t="shared" si="29"/>
        <v>0</v>
      </c>
      <c r="D68" s="4"/>
      <c r="E68" s="9">
        <f t="shared" si="7"/>
        <v>0</v>
      </c>
      <c r="F68" s="5">
        <f>-1105.76</f>
        <v>-1105.76</v>
      </c>
      <c r="G68" s="9">
        <f t="shared" si="8"/>
        <v>0.21878777925734513</v>
      </c>
      <c r="H68" s="5">
        <f>-890.4</f>
        <v>-890.4</v>
      </c>
      <c r="I68" s="9">
        <f t="shared" si="9"/>
        <v>0.17617623955536474</v>
      </c>
      <c r="J68" s="5">
        <f>-556.5</f>
        <v>-556.5</v>
      </c>
      <c r="K68" s="9">
        <f t="shared" si="10"/>
        <v>0.11011014972210297</v>
      </c>
      <c r="L68" s="5">
        <f>-500.28</f>
        <v>-500.28</v>
      </c>
      <c r="M68" s="9">
        <f t="shared" si="11"/>
        <v>9.8986353464463009E-2</v>
      </c>
      <c r="N68" s="5">
        <f>-867.14</f>
        <v>-867.14</v>
      </c>
      <c r="O68" s="9">
        <f t="shared" si="12"/>
        <v>0.17157397166221808</v>
      </c>
      <c r="P68" s="4"/>
      <c r="Q68" s="9">
        <f t="shared" si="13"/>
        <v>0</v>
      </c>
      <c r="R68" s="4"/>
      <c r="S68" s="9">
        <f t="shared" si="14"/>
        <v>0</v>
      </c>
      <c r="T68" s="4"/>
      <c r="U68" s="9">
        <f t="shared" si="15"/>
        <v>0</v>
      </c>
      <c r="V68" s="5">
        <f>-667.03</f>
        <v>-667.03</v>
      </c>
      <c r="W68" s="9">
        <f t="shared" si="16"/>
        <v>0.13197982600024138</v>
      </c>
      <c r="X68" s="5">
        <f>-466.92</f>
        <v>-466.92</v>
      </c>
      <c r="Y68" s="9">
        <f t="shared" si="17"/>
        <v>9.238568033826472E-2</v>
      </c>
      <c r="Z68" s="5">
        <f t="shared" si="0"/>
        <v>-5054.03</v>
      </c>
      <c r="AA68" s="10">
        <f t="shared" si="2"/>
        <v>1</v>
      </c>
    </row>
    <row r="69" spans="1:27">
      <c r="A69" s="3" t="s">
        <v>75</v>
      </c>
      <c r="B69" s="6">
        <f t="shared" ref="B69:X69" si="32">((B66)+(B67))+(B68)</f>
        <v>450</v>
      </c>
      <c r="C69" s="9">
        <f t="shared" si="29"/>
        <v>-0.52384666426085236</v>
      </c>
      <c r="D69" s="6">
        <f t="shared" si="32"/>
        <v>380</v>
      </c>
      <c r="E69" s="9">
        <f t="shared" si="7"/>
        <v>-0.44235940537583091</v>
      </c>
      <c r="F69" s="6">
        <f t="shared" si="32"/>
        <v>-235.76</v>
      </c>
      <c r="G69" s="9">
        <f t="shared" si="8"/>
        <v>0.27444908792475231</v>
      </c>
      <c r="H69" s="6">
        <f t="shared" si="32"/>
        <v>-405.4</v>
      </c>
      <c r="I69" s="9">
        <f t="shared" si="9"/>
        <v>0.47192763931411008</v>
      </c>
      <c r="J69" s="6">
        <f t="shared" si="32"/>
        <v>-171.5</v>
      </c>
      <c r="K69" s="9">
        <f t="shared" si="10"/>
        <v>0.19964378426830262</v>
      </c>
      <c r="L69" s="6">
        <f t="shared" si="32"/>
        <v>134.72000000000003</v>
      </c>
      <c r="M69" s="9">
        <f t="shared" si="11"/>
        <v>-0.15682805024271565</v>
      </c>
      <c r="N69" s="6">
        <f t="shared" si="32"/>
        <v>-692.14</v>
      </c>
      <c r="O69" s="9">
        <f t="shared" si="12"/>
        <v>0.80572273378112524</v>
      </c>
      <c r="P69" s="6">
        <f t="shared" si="32"/>
        <v>40</v>
      </c>
      <c r="Q69" s="9">
        <f t="shared" si="13"/>
        <v>-4.6564147934297986E-2</v>
      </c>
      <c r="R69" s="6">
        <f t="shared" si="32"/>
        <v>230</v>
      </c>
      <c r="S69" s="9">
        <f t="shared" si="14"/>
        <v>-0.26774385062221345</v>
      </c>
      <c r="T69" s="6">
        <f t="shared" si="32"/>
        <v>125</v>
      </c>
      <c r="U69" s="9">
        <f t="shared" si="15"/>
        <v>-0.14551296229468122</v>
      </c>
      <c r="V69" s="6">
        <f t="shared" si="32"/>
        <v>-307.02999999999997</v>
      </c>
      <c r="W69" s="9">
        <f t="shared" si="16"/>
        <v>0.35741475850668775</v>
      </c>
      <c r="X69" s="6">
        <f t="shared" si="32"/>
        <v>-406.92</v>
      </c>
      <c r="Y69" s="9">
        <f t="shared" si="17"/>
        <v>0.47369707693561347</v>
      </c>
      <c r="Z69" s="6">
        <f t="shared" si="0"/>
        <v>-859.03</v>
      </c>
      <c r="AA69" s="10">
        <f t="shared" si="2"/>
        <v>1</v>
      </c>
    </row>
    <row r="70" spans="1:27">
      <c r="A70" s="3" t="s">
        <v>76</v>
      </c>
      <c r="B70" s="6">
        <f t="shared" ref="B70:X70" si="33">(((B55)+(B60))+(B65))+(B69)</f>
        <v>859.1</v>
      </c>
      <c r="C70" s="9">
        <f t="shared" si="29"/>
        <v>0.10631070544225181</v>
      </c>
      <c r="D70" s="6">
        <f t="shared" si="33"/>
        <v>6150</v>
      </c>
      <c r="E70" s="9">
        <f t="shared" si="7"/>
        <v>0.76104159989506304</v>
      </c>
      <c r="F70" s="6">
        <f t="shared" si="33"/>
        <v>3300.1100000000006</v>
      </c>
      <c r="G70" s="9">
        <f t="shared" si="8"/>
        <v>0.40837739743572304</v>
      </c>
      <c r="H70" s="6">
        <f t="shared" si="33"/>
        <v>-2383.9899999999998</v>
      </c>
      <c r="I70" s="9">
        <f t="shared" si="9"/>
        <v>-0.29501066076972865</v>
      </c>
      <c r="J70" s="6">
        <f t="shared" si="33"/>
        <v>1464.62</v>
      </c>
      <c r="K70" s="9">
        <f t="shared" si="10"/>
        <v>0.1812417476485052</v>
      </c>
      <c r="L70" s="6">
        <f t="shared" si="33"/>
        <v>1978.82</v>
      </c>
      <c r="M70" s="9">
        <f t="shared" si="11"/>
        <v>0.24487225019582903</v>
      </c>
      <c r="N70" s="6">
        <f t="shared" si="33"/>
        <v>-2803.68</v>
      </c>
      <c r="O70" s="9">
        <f t="shared" si="12"/>
        <v>-0.34694587199899024</v>
      </c>
      <c r="P70" s="6">
        <f t="shared" si="33"/>
        <v>625</v>
      </c>
      <c r="Q70" s="9">
        <f t="shared" si="13"/>
        <v>7.7341626005595826E-2</v>
      </c>
      <c r="R70" s="6">
        <f t="shared" si="33"/>
        <v>-1645</v>
      </c>
      <c r="S70" s="9">
        <f t="shared" si="14"/>
        <v>-0.20356315964672822</v>
      </c>
      <c r="T70" s="6">
        <f t="shared" si="33"/>
        <v>195</v>
      </c>
      <c r="U70" s="9">
        <f t="shared" si="15"/>
        <v>2.4130587313745899E-2</v>
      </c>
      <c r="V70" s="6">
        <f t="shared" si="33"/>
        <v>1362.97</v>
      </c>
      <c r="W70" s="9">
        <f t="shared" si="16"/>
        <v>0.16866290559495511</v>
      </c>
      <c r="X70" s="6">
        <f t="shared" si="33"/>
        <v>-1021.9200000000001</v>
      </c>
      <c r="Y70" s="9">
        <f t="shared" si="17"/>
        <v>-0.12645912711622159</v>
      </c>
      <c r="Z70" s="6">
        <f t="shared" si="0"/>
        <v>8081.0299999999988</v>
      </c>
      <c r="AA70" s="10">
        <f t="shared" si="2"/>
        <v>1</v>
      </c>
    </row>
    <row r="71" spans="1:27">
      <c r="A71" s="3" t="s">
        <v>77</v>
      </c>
      <c r="B71" s="6">
        <f t="shared" ref="B71:X71" si="34">((((B11)+(B44))+(B51))+(B54))+(B70)</f>
        <v>16701.629999999997</v>
      </c>
      <c r="C71" s="9">
        <f t="shared" si="29"/>
        <v>9.6688834808890595E-2</v>
      </c>
      <c r="D71" s="6">
        <f t="shared" si="34"/>
        <v>17970.829999999998</v>
      </c>
      <c r="E71" s="9">
        <f t="shared" si="7"/>
        <v>0.1040364690900622</v>
      </c>
      <c r="F71" s="6">
        <f t="shared" si="34"/>
        <v>19710.75</v>
      </c>
      <c r="G71" s="9">
        <f t="shared" si="8"/>
        <v>0.11410918878632448</v>
      </c>
      <c r="H71" s="6">
        <f t="shared" si="34"/>
        <v>-1749.1400000000003</v>
      </c>
      <c r="I71" s="9">
        <f t="shared" si="9"/>
        <v>-1.0126095986896066E-2</v>
      </c>
      <c r="J71" s="6">
        <f t="shared" si="34"/>
        <v>27233.129999999997</v>
      </c>
      <c r="K71" s="9">
        <f t="shared" si="10"/>
        <v>0.15765764227198439</v>
      </c>
      <c r="L71" s="6">
        <f t="shared" si="34"/>
        <v>17688.78</v>
      </c>
      <c r="M71" s="9">
        <f t="shared" si="11"/>
        <v>0.1024036293098822</v>
      </c>
      <c r="N71" s="6">
        <f t="shared" si="34"/>
        <v>23676</v>
      </c>
      <c r="O71" s="9">
        <f t="shared" si="12"/>
        <v>0.13706475672945059</v>
      </c>
      <c r="P71" s="6">
        <f t="shared" si="34"/>
        <v>16572.23</v>
      </c>
      <c r="Q71" s="9">
        <f t="shared" si="13"/>
        <v>9.5939714200646356E-2</v>
      </c>
      <c r="R71" s="6">
        <f t="shared" si="34"/>
        <v>7484.5499999999993</v>
      </c>
      <c r="S71" s="9">
        <f t="shared" si="14"/>
        <v>4.3329448596866424E-2</v>
      </c>
      <c r="T71" s="6">
        <f t="shared" si="34"/>
        <v>8205.83</v>
      </c>
      <c r="U71" s="9">
        <f t="shared" si="15"/>
        <v>4.7505072339636238E-2</v>
      </c>
      <c r="V71" s="6">
        <f t="shared" si="34"/>
        <v>24294.120000000003</v>
      </c>
      <c r="W71" s="9">
        <f t="shared" si="16"/>
        <v>0.14064316809241767</v>
      </c>
      <c r="X71" s="6">
        <f t="shared" si="34"/>
        <v>-5052.8400000000011</v>
      </c>
      <c r="Y71" s="9">
        <f t="shared" si="17"/>
        <v>-2.9251828239264966E-2</v>
      </c>
      <c r="Z71" s="6">
        <f t="shared" ref="Z71:Z72" si="35">(((((((((((B71)+(D71))+(F71))+(H71))+(J71))+(L71))+(N71))+(P71))+(R71))+(T71))+(V71))+(X71)</f>
        <v>172735.86999999997</v>
      </c>
      <c r="AA71" s="10">
        <f t="shared" si="2"/>
        <v>1.0000000000000002</v>
      </c>
    </row>
    <row r="72" spans="1:27">
      <c r="A72" s="3" t="s">
        <v>78</v>
      </c>
      <c r="B72" s="6">
        <f t="shared" ref="B72:X72" si="36">(B71)-(0)</f>
        <v>16701.629999999997</v>
      </c>
      <c r="C72" s="9">
        <f t="shared" ref="C72:C118" si="37">B72/$Z72</f>
        <v>9.6688834808890595E-2</v>
      </c>
      <c r="D72" s="6">
        <f t="shared" si="36"/>
        <v>17970.829999999998</v>
      </c>
      <c r="E72" s="9">
        <f t="shared" si="7"/>
        <v>0.1040364690900622</v>
      </c>
      <c r="F72" s="6">
        <f t="shared" si="36"/>
        <v>19710.75</v>
      </c>
      <c r="G72" s="9">
        <f t="shared" si="8"/>
        <v>0.11410918878632448</v>
      </c>
      <c r="H72" s="6">
        <f t="shared" si="36"/>
        <v>-1749.1400000000003</v>
      </c>
      <c r="I72" s="9">
        <f t="shared" si="9"/>
        <v>-1.0126095986896066E-2</v>
      </c>
      <c r="J72" s="6">
        <f t="shared" si="36"/>
        <v>27233.129999999997</v>
      </c>
      <c r="K72" s="9">
        <f t="shared" si="10"/>
        <v>0.15765764227198439</v>
      </c>
      <c r="L72" s="6">
        <f t="shared" si="36"/>
        <v>17688.78</v>
      </c>
      <c r="M72" s="9">
        <f t="shared" si="11"/>
        <v>0.1024036293098822</v>
      </c>
      <c r="N72" s="6">
        <f t="shared" si="36"/>
        <v>23676</v>
      </c>
      <c r="O72" s="9">
        <f t="shared" si="12"/>
        <v>0.13706475672945059</v>
      </c>
      <c r="P72" s="6">
        <f t="shared" si="36"/>
        <v>16572.23</v>
      </c>
      <c r="Q72" s="9">
        <f t="shared" si="13"/>
        <v>9.5939714200646356E-2</v>
      </c>
      <c r="R72" s="6">
        <f t="shared" si="36"/>
        <v>7484.5499999999993</v>
      </c>
      <c r="S72" s="9">
        <f t="shared" si="14"/>
        <v>4.3329448596866424E-2</v>
      </c>
      <c r="T72" s="6">
        <f t="shared" si="36"/>
        <v>8205.83</v>
      </c>
      <c r="U72" s="9">
        <f t="shared" si="15"/>
        <v>4.7505072339636238E-2</v>
      </c>
      <c r="V72" s="6">
        <f t="shared" si="36"/>
        <v>24294.120000000003</v>
      </c>
      <c r="W72" s="9">
        <f t="shared" si="16"/>
        <v>0.14064316809241767</v>
      </c>
      <c r="X72" s="6">
        <f t="shared" si="36"/>
        <v>-5052.8400000000011</v>
      </c>
      <c r="Y72" s="9">
        <f t="shared" si="17"/>
        <v>-2.9251828239264966E-2</v>
      </c>
      <c r="Z72" s="6">
        <f t="shared" si="35"/>
        <v>172735.86999999997</v>
      </c>
      <c r="AA72" s="10">
        <f t="shared" si="2"/>
        <v>1.0000000000000002</v>
      </c>
    </row>
    <row r="73" spans="1:27">
      <c r="A73" s="3" t="s">
        <v>79</v>
      </c>
      <c r="B73" s="4"/>
      <c r="C73" s="9" t="e">
        <f t="shared" si="37"/>
        <v>#DIV/0!</v>
      </c>
      <c r="D73" s="4"/>
      <c r="E73" s="9" t="e">
        <f t="shared" si="7"/>
        <v>#DIV/0!</v>
      </c>
      <c r="F73" s="4"/>
      <c r="G73" s="9" t="e">
        <f t="shared" si="8"/>
        <v>#DIV/0!</v>
      </c>
      <c r="H73" s="4"/>
      <c r="I73" s="9" t="e">
        <f t="shared" si="9"/>
        <v>#DIV/0!</v>
      </c>
      <c r="J73" s="4"/>
      <c r="K73" s="9" t="e">
        <f t="shared" si="10"/>
        <v>#DIV/0!</v>
      </c>
      <c r="L73" s="4"/>
      <c r="M73" s="9" t="e">
        <f t="shared" si="11"/>
        <v>#DIV/0!</v>
      </c>
      <c r="N73" s="4"/>
      <c r="O73" s="9" t="e">
        <f t="shared" si="12"/>
        <v>#DIV/0!</v>
      </c>
      <c r="P73" s="4"/>
      <c r="Q73" s="9" t="e">
        <f t="shared" si="13"/>
        <v>#DIV/0!</v>
      </c>
      <c r="R73" s="4"/>
      <c r="S73" s="9" t="e">
        <f t="shared" si="14"/>
        <v>#DIV/0!</v>
      </c>
      <c r="T73" s="4"/>
      <c r="U73" s="9" t="e">
        <f t="shared" si="15"/>
        <v>#DIV/0!</v>
      </c>
      <c r="V73" s="4"/>
      <c r="W73" s="9" t="e">
        <f t="shared" si="16"/>
        <v>#DIV/0!</v>
      </c>
      <c r="X73" s="4"/>
      <c r="Y73" s="9" t="e">
        <f t="shared" si="17"/>
        <v>#DIV/0!</v>
      </c>
      <c r="Z73" s="4"/>
      <c r="AA73" s="10" t="e">
        <f t="shared" ref="AA73:AA118" si="38">C73+E73+G73+I73+K73+M73+O73+Q73+S73+U73+W73+Y73</f>
        <v>#DIV/0!</v>
      </c>
    </row>
    <row r="74" spans="1:27">
      <c r="A74" s="3" t="s">
        <v>80</v>
      </c>
      <c r="B74" s="4"/>
      <c r="C74" s="9">
        <f t="shared" si="37"/>
        <v>0</v>
      </c>
      <c r="D74" s="4"/>
      <c r="E74" s="9">
        <f t="shared" si="7"/>
        <v>0</v>
      </c>
      <c r="F74" s="4"/>
      <c r="G74" s="9">
        <f t="shared" si="8"/>
        <v>0</v>
      </c>
      <c r="H74" s="4"/>
      <c r="I74" s="9">
        <f t="shared" si="9"/>
        <v>0</v>
      </c>
      <c r="J74" s="4"/>
      <c r="K74" s="9">
        <f t="shared" si="10"/>
        <v>0</v>
      </c>
      <c r="L74" s="4"/>
      <c r="M74" s="9">
        <f t="shared" si="11"/>
        <v>0</v>
      </c>
      <c r="N74" s="4"/>
      <c r="O74" s="9">
        <f t="shared" si="12"/>
        <v>0</v>
      </c>
      <c r="P74" s="5">
        <f>236</f>
        <v>236</v>
      </c>
      <c r="Q74" s="9">
        <f t="shared" si="13"/>
        <v>1</v>
      </c>
      <c r="R74" s="4"/>
      <c r="S74" s="9">
        <f t="shared" si="14"/>
        <v>0</v>
      </c>
      <c r="T74" s="4"/>
      <c r="U74" s="9">
        <f t="shared" si="15"/>
        <v>0</v>
      </c>
      <c r="V74" s="4"/>
      <c r="W74" s="9">
        <f t="shared" si="16"/>
        <v>0</v>
      </c>
      <c r="X74" s="4"/>
      <c r="Y74" s="9">
        <f t="shared" si="17"/>
        <v>0</v>
      </c>
      <c r="Z74" s="5">
        <f t="shared" ref="Z74:Z107" si="39">(((((((((((B74)+(D74))+(F74))+(H74))+(J74))+(L74))+(N74))+(P74))+(R74))+(T74))+(V74))+(X74)</f>
        <v>236</v>
      </c>
      <c r="AA74" s="10">
        <f t="shared" si="38"/>
        <v>1</v>
      </c>
    </row>
    <row r="75" spans="1:27">
      <c r="A75" s="3" t="s">
        <v>81</v>
      </c>
      <c r="B75" s="5">
        <f>1500</f>
        <v>1500</v>
      </c>
      <c r="C75" s="9">
        <f t="shared" si="37"/>
        <v>0.10638297872340426</v>
      </c>
      <c r="D75" s="5">
        <f>1000</f>
        <v>1000</v>
      </c>
      <c r="E75" s="9">
        <f t="shared" si="7"/>
        <v>7.0921985815602842E-2</v>
      </c>
      <c r="F75" s="5">
        <f>1000</f>
        <v>1000</v>
      </c>
      <c r="G75" s="9">
        <f t="shared" si="8"/>
        <v>7.0921985815602842E-2</v>
      </c>
      <c r="H75" s="5">
        <f>1500</f>
        <v>1500</v>
      </c>
      <c r="I75" s="9">
        <f t="shared" si="9"/>
        <v>0.10638297872340426</v>
      </c>
      <c r="J75" s="5">
        <f>1000</f>
        <v>1000</v>
      </c>
      <c r="K75" s="9">
        <f t="shared" si="10"/>
        <v>7.0921985815602842E-2</v>
      </c>
      <c r="L75" s="5">
        <f>1000</f>
        <v>1000</v>
      </c>
      <c r="M75" s="9">
        <f t="shared" si="11"/>
        <v>7.0921985815602842E-2</v>
      </c>
      <c r="N75" s="5">
        <f>1100</f>
        <v>1100</v>
      </c>
      <c r="O75" s="9">
        <f t="shared" si="12"/>
        <v>7.8014184397163122E-2</v>
      </c>
      <c r="P75" s="5">
        <f>1150</f>
        <v>1150</v>
      </c>
      <c r="Q75" s="9">
        <f t="shared" si="13"/>
        <v>8.1560283687943269E-2</v>
      </c>
      <c r="R75" s="5">
        <f>1250</f>
        <v>1250</v>
      </c>
      <c r="S75" s="9">
        <f t="shared" si="14"/>
        <v>8.8652482269503549E-2</v>
      </c>
      <c r="T75" s="5">
        <f>1250</f>
        <v>1250</v>
      </c>
      <c r="U75" s="9">
        <f t="shared" si="15"/>
        <v>8.8652482269503549E-2</v>
      </c>
      <c r="V75" s="5">
        <f>1100</f>
        <v>1100</v>
      </c>
      <c r="W75" s="9">
        <f t="shared" si="16"/>
        <v>7.8014184397163122E-2</v>
      </c>
      <c r="X75" s="5">
        <f>1250</f>
        <v>1250</v>
      </c>
      <c r="Y75" s="9">
        <f t="shared" si="17"/>
        <v>8.8652482269503549E-2</v>
      </c>
      <c r="Z75" s="5">
        <f t="shared" si="39"/>
        <v>14100</v>
      </c>
      <c r="AA75" s="10">
        <f t="shared" si="38"/>
        <v>0.99999999999999989</v>
      </c>
    </row>
    <row r="76" spans="1:27">
      <c r="A76" s="3" t="s">
        <v>82</v>
      </c>
      <c r="B76" s="4"/>
      <c r="C76" s="9">
        <f t="shared" si="37"/>
        <v>0</v>
      </c>
      <c r="D76" s="5">
        <f>50</f>
        <v>50</v>
      </c>
      <c r="E76" s="9">
        <f t="shared" si="7"/>
        <v>0.1111111111111111</v>
      </c>
      <c r="F76" s="4"/>
      <c r="G76" s="9">
        <f t="shared" si="8"/>
        <v>0</v>
      </c>
      <c r="H76" s="4"/>
      <c r="I76" s="9">
        <f t="shared" si="9"/>
        <v>0</v>
      </c>
      <c r="J76" s="4"/>
      <c r="K76" s="9">
        <f t="shared" si="10"/>
        <v>0</v>
      </c>
      <c r="L76" s="4"/>
      <c r="M76" s="9">
        <f t="shared" si="11"/>
        <v>0</v>
      </c>
      <c r="N76" s="4"/>
      <c r="O76" s="9">
        <f t="shared" si="12"/>
        <v>0</v>
      </c>
      <c r="P76" s="5">
        <f>400</f>
        <v>400</v>
      </c>
      <c r="Q76" s="9">
        <f t="shared" si="13"/>
        <v>0.88888888888888884</v>
      </c>
      <c r="R76" s="4"/>
      <c r="S76" s="9">
        <f t="shared" si="14"/>
        <v>0</v>
      </c>
      <c r="T76" s="4"/>
      <c r="U76" s="9">
        <f t="shared" si="15"/>
        <v>0</v>
      </c>
      <c r="V76" s="4"/>
      <c r="W76" s="9">
        <f t="shared" si="16"/>
        <v>0</v>
      </c>
      <c r="X76" s="4"/>
      <c r="Y76" s="9">
        <f t="shared" si="17"/>
        <v>0</v>
      </c>
      <c r="Z76" s="5">
        <f t="shared" si="39"/>
        <v>450</v>
      </c>
      <c r="AA76" s="10">
        <f t="shared" si="38"/>
        <v>1</v>
      </c>
    </row>
    <row r="77" spans="1:27">
      <c r="A77" s="3" t="s">
        <v>83</v>
      </c>
      <c r="B77" s="5">
        <f>237.46</f>
        <v>237.46</v>
      </c>
      <c r="C77" s="9">
        <f t="shared" si="37"/>
        <v>7.203856456804468E-2</v>
      </c>
      <c r="D77" s="5">
        <f>143.99</f>
        <v>143.99</v>
      </c>
      <c r="E77" s="9">
        <f t="shared" si="7"/>
        <v>4.3682442988936046E-2</v>
      </c>
      <c r="F77" s="5">
        <f>458.96</f>
        <v>458.96</v>
      </c>
      <c r="G77" s="9">
        <f t="shared" si="8"/>
        <v>0.13923532213488496</v>
      </c>
      <c r="H77" s="5">
        <f>274.65</f>
        <v>274.64999999999998</v>
      </c>
      <c r="I77" s="9">
        <f t="shared" si="9"/>
        <v>8.3320945669222046E-2</v>
      </c>
      <c r="J77" s="5">
        <f>305.53</f>
        <v>305.52999999999997</v>
      </c>
      <c r="K77" s="9">
        <f t="shared" si="10"/>
        <v>9.2689053451000952E-2</v>
      </c>
      <c r="L77" s="5">
        <f>255.53</f>
        <v>255.53</v>
      </c>
      <c r="M77" s="9">
        <f t="shared" si="11"/>
        <v>7.7520485151488489E-2</v>
      </c>
      <c r="N77" s="5">
        <f>455.47</f>
        <v>455.47</v>
      </c>
      <c r="O77" s="9">
        <f t="shared" si="12"/>
        <v>0.138176556067579</v>
      </c>
      <c r="P77" s="5">
        <f>121.38</f>
        <v>121.38</v>
      </c>
      <c r="Q77" s="9">
        <f t="shared" si="13"/>
        <v>3.6823216403896498E-2</v>
      </c>
      <c r="R77" s="5">
        <f>179.15</f>
        <v>179.15</v>
      </c>
      <c r="S77" s="9">
        <f t="shared" si="14"/>
        <v>5.4348980217153217E-2</v>
      </c>
      <c r="T77" s="5">
        <f>458.87</f>
        <v>458.87</v>
      </c>
      <c r="U77" s="9">
        <f t="shared" si="15"/>
        <v>0.13920801871194582</v>
      </c>
      <c r="V77" s="5">
        <f>240.55</f>
        <v>240.55</v>
      </c>
      <c r="W77" s="9">
        <f t="shared" si="16"/>
        <v>7.2975982088954547E-2</v>
      </c>
      <c r="X77" s="5">
        <f>164.75</f>
        <v>164.75</v>
      </c>
      <c r="Y77" s="9">
        <f t="shared" si="17"/>
        <v>4.9980432546893626E-2</v>
      </c>
      <c r="Z77" s="5">
        <f t="shared" si="39"/>
        <v>3296.2900000000004</v>
      </c>
      <c r="AA77" s="10">
        <f t="shared" si="38"/>
        <v>0.99999999999999978</v>
      </c>
    </row>
    <row r="78" spans="1:27">
      <c r="A78" s="3" t="s">
        <v>84</v>
      </c>
      <c r="B78" s="5">
        <f>242</f>
        <v>242</v>
      </c>
      <c r="C78" s="9">
        <f t="shared" si="37"/>
        <v>6.8751953180488101E-2</v>
      </c>
      <c r="D78" s="5">
        <f>225</f>
        <v>225</v>
      </c>
      <c r="E78" s="9">
        <f t="shared" si="7"/>
        <v>6.3922270519048863E-2</v>
      </c>
      <c r="F78" s="5">
        <f>425.99</f>
        <v>425.99</v>
      </c>
      <c r="G78" s="9">
        <f t="shared" si="8"/>
        <v>0.12102332452626499</v>
      </c>
      <c r="H78" s="5">
        <f>719.99</f>
        <v>719.99</v>
      </c>
      <c r="I78" s="9">
        <f t="shared" si="9"/>
        <v>0.2045484246711555</v>
      </c>
      <c r="J78" s="5">
        <f>615.99</f>
        <v>615.99</v>
      </c>
      <c r="K78" s="9">
        <f t="shared" si="10"/>
        <v>0.17500213074235071</v>
      </c>
      <c r="L78" s="5">
        <f>269.99</f>
        <v>269.99</v>
      </c>
      <c r="M78" s="9">
        <f t="shared" si="11"/>
        <v>7.6703883633057787E-2</v>
      </c>
      <c r="N78" s="5">
        <f>165.99</f>
        <v>165.99</v>
      </c>
      <c r="O78" s="9">
        <f t="shared" si="12"/>
        <v>4.7157589704252982E-2</v>
      </c>
      <c r="P78" s="5">
        <f>165.99</f>
        <v>165.99</v>
      </c>
      <c r="Q78" s="9">
        <f t="shared" si="13"/>
        <v>4.7157589704252982E-2</v>
      </c>
      <c r="R78" s="5">
        <f>165.99</f>
        <v>165.99</v>
      </c>
      <c r="S78" s="9">
        <f t="shared" si="14"/>
        <v>4.7157589704252982E-2</v>
      </c>
      <c r="T78" s="5">
        <f>165.99</f>
        <v>165.99</v>
      </c>
      <c r="U78" s="9">
        <f t="shared" si="15"/>
        <v>4.7157589704252982E-2</v>
      </c>
      <c r="V78" s="5">
        <f>165.99</f>
        <v>165.99</v>
      </c>
      <c r="W78" s="9">
        <f t="shared" si="16"/>
        <v>4.7157589704252982E-2</v>
      </c>
      <c r="X78" s="5">
        <f>190.99</f>
        <v>190.99</v>
      </c>
      <c r="Y78" s="9">
        <f t="shared" si="17"/>
        <v>5.4260064206369522E-2</v>
      </c>
      <c r="Z78" s="5">
        <f t="shared" si="39"/>
        <v>3519.8999999999987</v>
      </c>
      <c r="AA78" s="10">
        <f t="shared" si="38"/>
        <v>1.0000000000000004</v>
      </c>
    </row>
    <row r="79" spans="1:27">
      <c r="A79" s="3" t="s">
        <v>85</v>
      </c>
      <c r="B79" s="4"/>
      <c r="C79" s="9" t="e">
        <f t="shared" si="37"/>
        <v>#DIV/0!</v>
      </c>
      <c r="D79" s="4"/>
      <c r="E79" s="9" t="e">
        <f t="shared" si="7"/>
        <v>#DIV/0!</v>
      </c>
      <c r="F79" s="4"/>
      <c r="G79" s="9" t="e">
        <f t="shared" si="8"/>
        <v>#DIV/0!</v>
      </c>
      <c r="H79" s="4"/>
      <c r="I79" s="9" t="e">
        <f t="shared" si="9"/>
        <v>#DIV/0!</v>
      </c>
      <c r="J79" s="4"/>
      <c r="K79" s="9" t="e">
        <f t="shared" si="10"/>
        <v>#DIV/0!</v>
      </c>
      <c r="L79" s="4"/>
      <c r="M79" s="9" t="e">
        <f t="shared" si="11"/>
        <v>#DIV/0!</v>
      </c>
      <c r="N79" s="4"/>
      <c r="O79" s="9" t="e">
        <f t="shared" si="12"/>
        <v>#DIV/0!</v>
      </c>
      <c r="P79" s="4"/>
      <c r="Q79" s="9" t="e">
        <f t="shared" si="13"/>
        <v>#DIV/0!</v>
      </c>
      <c r="R79" s="4"/>
      <c r="S79" s="9" t="e">
        <f t="shared" si="14"/>
        <v>#DIV/0!</v>
      </c>
      <c r="T79" s="4"/>
      <c r="U79" s="9" t="e">
        <f t="shared" si="15"/>
        <v>#DIV/0!</v>
      </c>
      <c r="V79" s="4"/>
      <c r="W79" s="9" t="e">
        <f t="shared" si="16"/>
        <v>#DIV/0!</v>
      </c>
      <c r="X79" s="4"/>
      <c r="Y79" s="9" t="e">
        <f t="shared" si="17"/>
        <v>#DIV/0!</v>
      </c>
      <c r="Z79" s="5">
        <f t="shared" si="39"/>
        <v>0</v>
      </c>
      <c r="AA79" s="10" t="e">
        <f t="shared" si="38"/>
        <v>#DIV/0!</v>
      </c>
    </row>
    <row r="80" spans="1:27">
      <c r="A80" s="3" t="s">
        <v>86</v>
      </c>
      <c r="B80" s="4"/>
      <c r="C80" s="9">
        <f t="shared" si="37"/>
        <v>0</v>
      </c>
      <c r="D80" s="4"/>
      <c r="E80" s="9">
        <f t="shared" si="7"/>
        <v>0</v>
      </c>
      <c r="F80" s="4"/>
      <c r="G80" s="9">
        <f t="shared" si="8"/>
        <v>0</v>
      </c>
      <c r="H80" s="5">
        <f>398.4</f>
        <v>398.4</v>
      </c>
      <c r="I80" s="9">
        <f t="shared" si="9"/>
        <v>0.19592607528203712</v>
      </c>
      <c r="J80" s="5">
        <f>128.41</f>
        <v>128.41</v>
      </c>
      <c r="K80" s="9">
        <f t="shared" si="10"/>
        <v>6.3149767386963818E-2</v>
      </c>
      <c r="L80" s="5">
        <f>128.43</f>
        <v>128.43</v>
      </c>
      <c r="M80" s="9">
        <f t="shared" si="11"/>
        <v>6.3159603033313333E-2</v>
      </c>
      <c r="N80" s="5">
        <f>128.43</f>
        <v>128.43</v>
      </c>
      <c r="O80" s="9">
        <f t="shared" si="12"/>
        <v>6.3159603033313333E-2</v>
      </c>
      <c r="P80" s="5">
        <f>128.43</f>
        <v>128.43</v>
      </c>
      <c r="Q80" s="9">
        <f t="shared" si="13"/>
        <v>6.3159603033313333E-2</v>
      </c>
      <c r="R80" s="5">
        <f>432.23</f>
        <v>432.23</v>
      </c>
      <c r="S80" s="9">
        <f t="shared" si="14"/>
        <v>0.21256307108221614</v>
      </c>
      <c r="T80" s="5">
        <f>128.43</f>
        <v>128.43</v>
      </c>
      <c r="U80" s="9">
        <f t="shared" si="15"/>
        <v>6.3159603033313333E-2</v>
      </c>
      <c r="V80" s="5">
        <f>128.43</f>
        <v>128.43</v>
      </c>
      <c r="W80" s="9">
        <f t="shared" si="16"/>
        <v>6.3159603033313333E-2</v>
      </c>
      <c r="X80" s="5">
        <f>432.23</f>
        <v>432.23</v>
      </c>
      <c r="Y80" s="9">
        <f t="shared" si="17"/>
        <v>0.21256307108221614</v>
      </c>
      <c r="Z80" s="5">
        <f t="shared" si="39"/>
        <v>2033.4200000000003</v>
      </c>
      <c r="AA80" s="10">
        <f t="shared" si="38"/>
        <v>1</v>
      </c>
    </row>
    <row r="81" spans="1:27">
      <c r="A81" s="3" t="s">
        <v>87</v>
      </c>
      <c r="B81" s="6">
        <f t="shared" ref="B81:X81" si="40">(B79)+(B80)</f>
        <v>0</v>
      </c>
      <c r="C81" s="9">
        <f t="shared" si="37"/>
        <v>0</v>
      </c>
      <c r="D81" s="6">
        <f t="shared" si="40"/>
        <v>0</v>
      </c>
      <c r="E81" s="9">
        <f t="shared" si="7"/>
        <v>0</v>
      </c>
      <c r="F81" s="6">
        <f t="shared" si="40"/>
        <v>0</v>
      </c>
      <c r="G81" s="9">
        <f t="shared" si="8"/>
        <v>0</v>
      </c>
      <c r="H81" s="6">
        <f t="shared" si="40"/>
        <v>398.4</v>
      </c>
      <c r="I81" s="9">
        <f t="shared" si="9"/>
        <v>0.19592607528203712</v>
      </c>
      <c r="J81" s="6">
        <f t="shared" si="40"/>
        <v>128.41</v>
      </c>
      <c r="K81" s="9">
        <f t="shared" si="10"/>
        <v>6.3149767386963818E-2</v>
      </c>
      <c r="L81" s="6">
        <f t="shared" si="40"/>
        <v>128.43</v>
      </c>
      <c r="M81" s="9">
        <f t="shared" si="11"/>
        <v>6.3159603033313333E-2</v>
      </c>
      <c r="N81" s="6">
        <f t="shared" si="40"/>
        <v>128.43</v>
      </c>
      <c r="O81" s="9">
        <f t="shared" si="12"/>
        <v>6.3159603033313333E-2</v>
      </c>
      <c r="P81" s="6">
        <f t="shared" si="40"/>
        <v>128.43</v>
      </c>
      <c r="Q81" s="9">
        <f t="shared" si="13"/>
        <v>6.3159603033313333E-2</v>
      </c>
      <c r="R81" s="6">
        <f t="shared" si="40"/>
        <v>432.23</v>
      </c>
      <c r="S81" s="9">
        <f t="shared" si="14"/>
        <v>0.21256307108221614</v>
      </c>
      <c r="T81" s="6">
        <f t="shared" si="40"/>
        <v>128.43</v>
      </c>
      <c r="U81" s="9">
        <f t="shared" si="15"/>
        <v>6.3159603033313333E-2</v>
      </c>
      <c r="V81" s="6">
        <f t="shared" si="40"/>
        <v>128.43</v>
      </c>
      <c r="W81" s="9">
        <f t="shared" si="16"/>
        <v>6.3159603033313333E-2</v>
      </c>
      <c r="X81" s="6">
        <f t="shared" si="40"/>
        <v>432.23</v>
      </c>
      <c r="Y81" s="9">
        <f t="shared" si="17"/>
        <v>0.21256307108221614</v>
      </c>
      <c r="Z81" s="6">
        <f t="shared" si="39"/>
        <v>2033.4200000000003</v>
      </c>
      <c r="AA81" s="10">
        <f t="shared" si="38"/>
        <v>1</v>
      </c>
    </row>
    <row r="82" spans="1:27">
      <c r="A82" s="3" t="s">
        <v>88</v>
      </c>
      <c r="B82" s="5">
        <f>93.39</f>
        <v>93.39</v>
      </c>
      <c r="C82" s="9">
        <f t="shared" si="37"/>
        <v>0.18522411741372474</v>
      </c>
      <c r="D82" s="4"/>
      <c r="E82" s="9">
        <f t="shared" si="7"/>
        <v>0</v>
      </c>
      <c r="F82" s="4"/>
      <c r="G82" s="9">
        <f t="shared" si="8"/>
        <v>0</v>
      </c>
      <c r="H82" s="4"/>
      <c r="I82" s="9">
        <f t="shared" si="9"/>
        <v>0</v>
      </c>
      <c r="J82" s="5">
        <f>248.64</f>
        <v>248.64</v>
      </c>
      <c r="K82" s="9">
        <f t="shared" si="10"/>
        <v>0.49313764379214603</v>
      </c>
      <c r="L82" s="5">
        <f>162.17</f>
        <v>162.16999999999999</v>
      </c>
      <c r="M82" s="9">
        <f t="shared" si="11"/>
        <v>0.32163823879412934</v>
      </c>
      <c r="N82" s="4"/>
      <c r="O82" s="9">
        <f t="shared" si="12"/>
        <v>0</v>
      </c>
      <c r="P82" s="4"/>
      <c r="Q82" s="9">
        <f t="shared" si="13"/>
        <v>0</v>
      </c>
      <c r="R82" s="4"/>
      <c r="S82" s="9">
        <f t="shared" si="14"/>
        <v>0</v>
      </c>
      <c r="T82" s="4"/>
      <c r="U82" s="9">
        <f t="shared" si="15"/>
        <v>0</v>
      </c>
      <c r="V82" s="4"/>
      <c r="W82" s="9">
        <f t="shared" si="16"/>
        <v>0</v>
      </c>
      <c r="X82" s="4"/>
      <c r="Y82" s="9">
        <f t="shared" si="17"/>
        <v>0</v>
      </c>
      <c r="Z82" s="5">
        <f t="shared" si="39"/>
        <v>504.19999999999993</v>
      </c>
      <c r="AA82" s="10">
        <f t="shared" si="38"/>
        <v>1</v>
      </c>
    </row>
    <row r="83" spans="1:27">
      <c r="A83" s="3" t="s">
        <v>89</v>
      </c>
      <c r="B83" s="4"/>
      <c r="C83" s="9">
        <f t="shared" si="37"/>
        <v>0</v>
      </c>
      <c r="D83" s="5">
        <f>207.73</f>
        <v>207.73</v>
      </c>
      <c r="E83" s="9">
        <f t="shared" si="7"/>
        <v>0.73356169220990175</v>
      </c>
      <c r="F83" s="5">
        <f>52.27</f>
        <v>52.27</v>
      </c>
      <c r="G83" s="9">
        <f t="shared" si="8"/>
        <v>0.18458224450879301</v>
      </c>
      <c r="H83" s="4"/>
      <c r="I83" s="9">
        <f t="shared" si="9"/>
        <v>0</v>
      </c>
      <c r="J83" s="4"/>
      <c r="K83" s="9">
        <f t="shared" si="10"/>
        <v>0</v>
      </c>
      <c r="L83" s="4"/>
      <c r="M83" s="9">
        <f t="shared" si="11"/>
        <v>0</v>
      </c>
      <c r="N83" s="5">
        <f>23.18</f>
        <v>23.18</v>
      </c>
      <c r="O83" s="9">
        <f t="shared" si="12"/>
        <v>8.185606328130518E-2</v>
      </c>
      <c r="P83" s="4"/>
      <c r="Q83" s="9">
        <f t="shared" si="13"/>
        <v>0</v>
      </c>
      <c r="R83" s="4"/>
      <c r="S83" s="9">
        <f t="shared" si="14"/>
        <v>0</v>
      </c>
      <c r="T83" s="4"/>
      <c r="U83" s="9">
        <f t="shared" si="15"/>
        <v>0</v>
      </c>
      <c r="V83" s="4"/>
      <c r="W83" s="9">
        <f t="shared" si="16"/>
        <v>0</v>
      </c>
      <c r="X83" s="4"/>
      <c r="Y83" s="9">
        <f t="shared" si="17"/>
        <v>0</v>
      </c>
      <c r="Z83" s="5">
        <f t="shared" si="39"/>
        <v>283.18</v>
      </c>
      <c r="AA83" s="10">
        <f t="shared" si="38"/>
        <v>1</v>
      </c>
    </row>
    <row r="84" spans="1:27">
      <c r="A84" s="3" t="s">
        <v>90</v>
      </c>
      <c r="B84" s="5">
        <f>501.11</f>
        <v>501.11</v>
      </c>
      <c r="C84" s="9">
        <f t="shared" si="37"/>
        <v>0.50403339368336342</v>
      </c>
      <c r="D84" s="5">
        <f>-436.96</f>
        <v>-436.96</v>
      </c>
      <c r="E84" s="9">
        <f t="shared" si="7"/>
        <v>-0.43950915308790978</v>
      </c>
      <c r="F84" s="5">
        <f>430.42</f>
        <v>430.42</v>
      </c>
      <c r="G84" s="9">
        <f t="shared" si="8"/>
        <v>0.4329309997988332</v>
      </c>
      <c r="H84" s="5">
        <f>375.04</f>
        <v>375.04</v>
      </c>
      <c r="I84" s="9">
        <f t="shared" si="9"/>
        <v>0.37722792194729426</v>
      </c>
      <c r="J84" s="5">
        <f>-38.99</f>
        <v>-38.99</v>
      </c>
      <c r="K84" s="9">
        <f t="shared" si="10"/>
        <v>-3.9217461275397297E-2</v>
      </c>
      <c r="L84" s="4"/>
      <c r="M84" s="9">
        <f t="shared" si="11"/>
        <v>0</v>
      </c>
      <c r="N84" s="5">
        <f>5.25</f>
        <v>5.25</v>
      </c>
      <c r="O84" s="9">
        <f t="shared" si="12"/>
        <v>5.2806276403138197E-3</v>
      </c>
      <c r="P84" s="5">
        <f>128.47</f>
        <v>128.47</v>
      </c>
      <c r="Q84" s="9">
        <f t="shared" si="13"/>
        <v>0.12921947294306979</v>
      </c>
      <c r="R84" s="4"/>
      <c r="S84" s="9">
        <f t="shared" si="14"/>
        <v>0</v>
      </c>
      <c r="T84" s="4"/>
      <c r="U84" s="9">
        <f t="shared" si="15"/>
        <v>0</v>
      </c>
      <c r="V84" s="4"/>
      <c r="W84" s="9">
        <f t="shared" si="16"/>
        <v>0</v>
      </c>
      <c r="X84" s="5">
        <f>29.86</f>
        <v>29.86</v>
      </c>
      <c r="Y84" s="9">
        <f t="shared" si="17"/>
        <v>3.0034198350432504E-2</v>
      </c>
      <c r="Z84" s="5">
        <f t="shared" si="39"/>
        <v>994.20000000000016</v>
      </c>
      <c r="AA84" s="10">
        <f t="shared" si="38"/>
        <v>1</v>
      </c>
    </row>
    <row r="85" spans="1:27">
      <c r="A85" s="3" t="s">
        <v>91</v>
      </c>
      <c r="B85" s="4"/>
      <c r="C85" s="9" t="e">
        <f t="shared" si="37"/>
        <v>#DIV/0!</v>
      </c>
      <c r="D85" s="4"/>
      <c r="E85" s="9" t="e">
        <f t="shared" si="7"/>
        <v>#DIV/0!</v>
      </c>
      <c r="F85" s="4"/>
      <c r="G85" s="9" t="e">
        <f t="shared" si="8"/>
        <v>#DIV/0!</v>
      </c>
      <c r="H85" s="4"/>
      <c r="I85" s="9" t="e">
        <f t="shared" si="9"/>
        <v>#DIV/0!</v>
      </c>
      <c r="J85" s="4"/>
      <c r="K85" s="9" t="e">
        <f t="shared" si="10"/>
        <v>#DIV/0!</v>
      </c>
      <c r="L85" s="4"/>
      <c r="M85" s="9" t="e">
        <f t="shared" si="11"/>
        <v>#DIV/0!</v>
      </c>
      <c r="N85" s="4"/>
      <c r="O85" s="9" t="e">
        <f t="shared" si="12"/>
        <v>#DIV/0!</v>
      </c>
      <c r="P85" s="4"/>
      <c r="Q85" s="9" t="e">
        <f t="shared" si="13"/>
        <v>#DIV/0!</v>
      </c>
      <c r="R85" s="4"/>
      <c r="S85" s="9" t="e">
        <f t="shared" si="14"/>
        <v>#DIV/0!</v>
      </c>
      <c r="T85" s="4"/>
      <c r="U85" s="9" t="e">
        <f t="shared" si="15"/>
        <v>#DIV/0!</v>
      </c>
      <c r="V85" s="4"/>
      <c r="W85" s="9" t="e">
        <f t="shared" si="16"/>
        <v>#DIV/0!</v>
      </c>
      <c r="X85" s="4"/>
      <c r="Y85" s="9" t="e">
        <f t="shared" si="17"/>
        <v>#DIV/0!</v>
      </c>
      <c r="Z85" s="5">
        <f t="shared" si="39"/>
        <v>0</v>
      </c>
      <c r="AA85" s="10" t="e">
        <f t="shared" si="38"/>
        <v>#DIV/0!</v>
      </c>
    </row>
    <row r="86" spans="1:27">
      <c r="A86" s="3" t="s">
        <v>92</v>
      </c>
      <c r="B86" s="4"/>
      <c r="C86" s="9">
        <f t="shared" si="37"/>
        <v>0</v>
      </c>
      <c r="D86" s="4"/>
      <c r="E86" s="9">
        <f t="shared" si="7"/>
        <v>0</v>
      </c>
      <c r="F86" s="4"/>
      <c r="G86" s="9">
        <f t="shared" si="8"/>
        <v>0</v>
      </c>
      <c r="H86" s="4"/>
      <c r="I86" s="9">
        <f t="shared" si="9"/>
        <v>0</v>
      </c>
      <c r="J86" s="4"/>
      <c r="K86" s="9">
        <f t="shared" si="10"/>
        <v>0</v>
      </c>
      <c r="L86" s="5">
        <f>54.64</f>
        <v>54.64</v>
      </c>
      <c r="M86" s="9">
        <f t="shared" si="11"/>
        <v>1</v>
      </c>
      <c r="N86" s="4"/>
      <c r="O86" s="9">
        <f t="shared" si="12"/>
        <v>0</v>
      </c>
      <c r="P86" s="4"/>
      <c r="Q86" s="9">
        <f t="shared" si="13"/>
        <v>0</v>
      </c>
      <c r="R86" s="4"/>
      <c r="S86" s="9">
        <f t="shared" si="14"/>
        <v>0</v>
      </c>
      <c r="T86" s="4"/>
      <c r="U86" s="9">
        <f t="shared" si="15"/>
        <v>0</v>
      </c>
      <c r="V86" s="4"/>
      <c r="W86" s="9">
        <f t="shared" si="16"/>
        <v>0</v>
      </c>
      <c r="X86" s="4"/>
      <c r="Y86" s="9">
        <f t="shared" si="17"/>
        <v>0</v>
      </c>
      <c r="Z86" s="5">
        <f t="shared" si="39"/>
        <v>54.64</v>
      </c>
      <c r="AA86" s="10">
        <f t="shared" si="38"/>
        <v>1</v>
      </c>
    </row>
    <row r="87" spans="1:27">
      <c r="A87" s="3" t="s">
        <v>93</v>
      </c>
      <c r="B87" s="6">
        <f t="shared" ref="B87:X87" si="41">(B85)+(B86)</f>
        <v>0</v>
      </c>
      <c r="C87" s="9">
        <f t="shared" si="37"/>
        <v>0</v>
      </c>
      <c r="D87" s="6">
        <f t="shared" si="41"/>
        <v>0</v>
      </c>
      <c r="E87" s="9">
        <f t="shared" si="7"/>
        <v>0</v>
      </c>
      <c r="F87" s="6">
        <f t="shared" si="41"/>
        <v>0</v>
      </c>
      <c r="G87" s="9">
        <f t="shared" si="8"/>
        <v>0</v>
      </c>
      <c r="H87" s="6">
        <f t="shared" si="41"/>
        <v>0</v>
      </c>
      <c r="I87" s="9">
        <f t="shared" si="9"/>
        <v>0</v>
      </c>
      <c r="J87" s="6">
        <f t="shared" si="41"/>
        <v>0</v>
      </c>
      <c r="K87" s="9">
        <f t="shared" si="10"/>
        <v>0</v>
      </c>
      <c r="L87" s="6">
        <f t="shared" si="41"/>
        <v>54.64</v>
      </c>
      <c r="M87" s="9">
        <f t="shared" si="11"/>
        <v>1</v>
      </c>
      <c r="N87" s="6">
        <f t="shared" si="41"/>
        <v>0</v>
      </c>
      <c r="O87" s="9">
        <f t="shared" si="12"/>
        <v>0</v>
      </c>
      <c r="P87" s="6">
        <f t="shared" si="41"/>
        <v>0</v>
      </c>
      <c r="Q87" s="9">
        <f t="shared" si="13"/>
        <v>0</v>
      </c>
      <c r="R87" s="6">
        <f t="shared" si="41"/>
        <v>0</v>
      </c>
      <c r="S87" s="9">
        <f t="shared" si="14"/>
        <v>0</v>
      </c>
      <c r="T87" s="6">
        <f t="shared" si="41"/>
        <v>0</v>
      </c>
      <c r="U87" s="9">
        <f t="shared" si="15"/>
        <v>0</v>
      </c>
      <c r="V87" s="6">
        <f t="shared" si="41"/>
        <v>0</v>
      </c>
      <c r="W87" s="9">
        <f t="shared" si="16"/>
        <v>0</v>
      </c>
      <c r="X87" s="6">
        <f t="shared" si="41"/>
        <v>0</v>
      </c>
      <c r="Y87" s="9">
        <f t="shared" si="17"/>
        <v>0</v>
      </c>
      <c r="Z87" s="6">
        <f t="shared" si="39"/>
        <v>54.64</v>
      </c>
      <c r="AA87" s="10">
        <f t="shared" si="38"/>
        <v>1</v>
      </c>
    </row>
    <row r="88" spans="1:27">
      <c r="A88" s="3" t="s">
        <v>94</v>
      </c>
      <c r="B88" s="5">
        <f>118.34</f>
        <v>118.34</v>
      </c>
      <c r="C88" s="9">
        <f t="shared" si="37"/>
        <v>0.13813470292984709</v>
      </c>
      <c r="D88" s="5">
        <f>32.29</f>
        <v>32.29</v>
      </c>
      <c r="E88" s="9">
        <f t="shared" ref="E88:E118" si="42">D88/$Z88</f>
        <v>3.7691140422551651E-2</v>
      </c>
      <c r="F88" s="5">
        <f>103.9</f>
        <v>103.9</v>
      </c>
      <c r="G88" s="9">
        <f t="shared" ref="G88:G118" si="43">F88/$Z88</f>
        <v>0.12127932765262052</v>
      </c>
      <c r="H88" s="5">
        <f>85.02</f>
        <v>85.02</v>
      </c>
      <c r="I88" s="9">
        <f t="shared" ref="I88:I118" si="44">H88/$Z88</f>
        <v>9.9241274658573589E-2</v>
      </c>
      <c r="J88" s="4"/>
      <c r="K88" s="9">
        <f t="shared" ref="K88:K118" si="45">J88/$Z88</f>
        <v>0</v>
      </c>
      <c r="L88" s="5">
        <f>58.91</f>
        <v>58.91</v>
      </c>
      <c r="M88" s="9">
        <f t="shared" ref="M88:M118" si="46">L88/$Z88</f>
        <v>6.8763861328352979E-2</v>
      </c>
      <c r="N88" s="5">
        <f>79.6</f>
        <v>79.599999999999994</v>
      </c>
      <c r="O88" s="9">
        <f t="shared" ref="O88:O118" si="47">N88/$Z88</f>
        <v>9.2914672580833413E-2</v>
      </c>
      <c r="P88" s="5">
        <f>203.69</f>
        <v>203.69</v>
      </c>
      <c r="Q88" s="9">
        <f t="shared" ref="Q88:Q118" si="48">P88/$Z88</f>
        <v>0.23776117660791407</v>
      </c>
      <c r="R88" s="5">
        <f>27.38</f>
        <v>27.38</v>
      </c>
      <c r="S88" s="9">
        <f t="shared" ref="S88:S118" si="49">R88/$Z88</f>
        <v>3.1959845920392201E-2</v>
      </c>
      <c r="T88" s="4"/>
      <c r="U88" s="9">
        <f t="shared" ref="U88:U118" si="50">T88/$Z88</f>
        <v>0</v>
      </c>
      <c r="V88" s="5">
        <f>23.99</f>
        <v>23.99</v>
      </c>
      <c r="W88" s="9">
        <f t="shared" ref="W88:W118" si="51">V88/$Z88</f>
        <v>2.8002801447414495E-2</v>
      </c>
      <c r="X88" s="5">
        <f>123.58</f>
        <v>123.58</v>
      </c>
      <c r="Y88" s="9">
        <f t="shared" ref="Y88:Y118" si="52">X88/$Z88</f>
        <v>0.14425119645149992</v>
      </c>
      <c r="Z88" s="5">
        <f t="shared" si="39"/>
        <v>856.7</v>
      </c>
      <c r="AA88" s="10">
        <f t="shared" si="38"/>
        <v>1</v>
      </c>
    </row>
    <row r="89" spans="1:27">
      <c r="A89" s="3" t="s">
        <v>95</v>
      </c>
      <c r="B89" s="5">
        <f>111.5</f>
        <v>111.5</v>
      </c>
      <c r="C89" s="9">
        <f t="shared" si="37"/>
        <v>7.8492935635792779E-2</v>
      </c>
      <c r="D89" s="5">
        <f>116</f>
        <v>116</v>
      </c>
      <c r="E89" s="9">
        <f t="shared" si="42"/>
        <v>8.1660811961901003E-2</v>
      </c>
      <c r="F89" s="5">
        <f>145.01</f>
        <v>145.01</v>
      </c>
      <c r="G89" s="9">
        <f t="shared" si="43"/>
        <v>0.10208305467754539</v>
      </c>
      <c r="H89" s="5">
        <f>116</f>
        <v>116</v>
      </c>
      <c r="I89" s="9">
        <f t="shared" si="44"/>
        <v>8.1660811961901003E-2</v>
      </c>
      <c r="J89" s="5">
        <f>116</f>
        <v>116</v>
      </c>
      <c r="K89" s="9">
        <f t="shared" si="45"/>
        <v>8.1660811961901003E-2</v>
      </c>
      <c r="L89" s="5">
        <f>116</f>
        <v>116</v>
      </c>
      <c r="M89" s="9">
        <f t="shared" si="46"/>
        <v>8.1660811961901003E-2</v>
      </c>
      <c r="N89" s="5">
        <f>116</f>
        <v>116</v>
      </c>
      <c r="O89" s="9">
        <f t="shared" si="47"/>
        <v>8.1660811961901003E-2</v>
      </c>
      <c r="P89" s="5">
        <f>116</f>
        <v>116</v>
      </c>
      <c r="Q89" s="9">
        <f t="shared" si="48"/>
        <v>8.1660811961901003E-2</v>
      </c>
      <c r="R89" s="5">
        <f>116</f>
        <v>116</v>
      </c>
      <c r="S89" s="9">
        <f t="shared" si="49"/>
        <v>8.1660811961901003E-2</v>
      </c>
      <c r="T89" s="5">
        <f>116</f>
        <v>116</v>
      </c>
      <c r="U89" s="9">
        <f t="shared" si="50"/>
        <v>8.1660811961901003E-2</v>
      </c>
      <c r="V89" s="5">
        <f>116</f>
        <v>116</v>
      </c>
      <c r="W89" s="9">
        <f t="shared" si="51"/>
        <v>8.1660811961901003E-2</v>
      </c>
      <c r="X89" s="5">
        <f>120</f>
        <v>120</v>
      </c>
      <c r="Y89" s="9">
        <f t="shared" si="52"/>
        <v>8.4476702029552764E-2</v>
      </c>
      <c r="Z89" s="5">
        <f t="shared" si="39"/>
        <v>1420.51</v>
      </c>
      <c r="AA89" s="10">
        <f t="shared" si="38"/>
        <v>1</v>
      </c>
    </row>
    <row r="90" spans="1:27">
      <c r="A90" s="3" t="s">
        <v>96</v>
      </c>
      <c r="B90" s="5">
        <f>760.19</f>
        <v>760.19</v>
      </c>
      <c r="C90" s="9">
        <f t="shared" si="37"/>
        <v>8.4530644151552273E-2</v>
      </c>
      <c r="D90" s="5">
        <f>733.79</f>
        <v>733.79</v>
      </c>
      <c r="E90" s="9">
        <f t="shared" si="42"/>
        <v>8.1595050411038733E-2</v>
      </c>
      <c r="F90" s="5">
        <f>738.3</f>
        <v>738.3</v>
      </c>
      <c r="G90" s="9">
        <f t="shared" si="43"/>
        <v>8.2096547675043124E-2</v>
      </c>
      <c r="H90" s="5">
        <f>711.9</f>
        <v>711.9</v>
      </c>
      <c r="I90" s="9">
        <f t="shared" si="44"/>
        <v>7.9160953934529599E-2</v>
      </c>
      <c r="J90" s="5">
        <f>753.9</f>
        <v>753.9</v>
      </c>
      <c r="K90" s="9">
        <f t="shared" si="45"/>
        <v>8.3831216703528402E-2</v>
      </c>
      <c r="L90" s="5">
        <f>731.86</f>
        <v>731.86</v>
      </c>
      <c r="M90" s="9">
        <f t="shared" si="46"/>
        <v>8.1380440717129993E-2</v>
      </c>
      <c r="N90" s="5">
        <f>701.25</f>
        <v>701.25</v>
      </c>
      <c r="O90" s="9">
        <f t="shared" si="47"/>
        <v>7.7976708732390626E-2</v>
      </c>
      <c r="P90" s="5">
        <f>745.61</f>
        <v>745.61</v>
      </c>
      <c r="Q90" s="9">
        <f t="shared" si="48"/>
        <v>8.2909395790314117E-2</v>
      </c>
      <c r="R90" s="5">
        <f>721.15</f>
        <v>721.15</v>
      </c>
      <c r="S90" s="9">
        <f t="shared" si="49"/>
        <v>8.0189523711035285E-2</v>
      </c>
      <c r="T90" s="5">
        <f>719.61</f>
        <v>719.61</v>
      </c>
      <c r="U90" s="9">
        <f t="shared" si="50"/>
        <v>8.0018280742838677E-2</v>
      </c>
      <c r="V90" s="5">
        <f>744.08</f>
        <v>744.08</v>
      </c>
      <c r="W90" s="9">
        <f t="shared" si="51"/>
        <v>8.2739264789443448E-2</v>
      </c>
      <c r="X90" s="5">
        <f>931.43</f>
        <v>931.43</v>
      </c>
      <c r="Y90" s="9">
        <f t="shared" si="52"/>
        <v>0.10357197264115593</v>
      </c>
      <c r="Z90" s="5">
        <f t="shared" si="39"/>
        <v>8993.0699999999979</v>
      </c>
      <c r="AA90" s="10">
        <f t="shared" si="38"/>
        <v>1.0000000000000002</v>
      </c>
    </row>
    <row r="91" spans="1:27">
      <c r="A91" s="3" t="s">
        <v>97</v>
      </c>
      <c r="B91" s="4"/>
      <c r="C91" s="9">
        <f t="shared" si="37"/>
        <v>0</v>
      </c>
      <c r="D91" s="4"/>
      <c r="E91" s="9">
        <f t="shared" si="42"/>
        <v>0</v>
      </c>
      <c r="F91" s="4"/>
      <c r="G91" s="9">
        <f t="shared" si="43"/>
        <v>0</v>
      </c>
      <c r="H91" s="4"/>
      <c r="I91" s="9">
        <f t="shared" si="44"/>
        <v>0</v>
      </c>
      <c r="J91" s="4"/>
      <c r="K91" s="9">
        <f t="shared" si="45"/>
        <v>0</v>
      </c>
      <c r="L91" s="5">
        <f>251.99</f>
        <v>251.99</v>
      </c>
      <c r="M91" s="9">
        <f t="shared" si="46"/>
        <v>0.23014887204310894</v>
      </c>
      <c r="N91" s="5">
        <f>239.5</f>
        <v>239.5</v>
      </c>
      <c r="O91" s="9">
        <f t="shared" si="47"/>
        <v>0.21874143757420766</v>
      </c>
      <c r="P91" s="5">
        <f>239.5</f>
        <v>239.5</v>
      </c>
      <c r="Q91" s="9">
        <f t="shared" si="48"/>
        <v>0.21874143757420766</v>
      </c>
      <c r="R91" s="5">
        <f>285.9</f>
        <v>285.89999999999998</v>
      </c>
      <c r="S91" s="9">
        <f t="shared" si="49"/>
        <v>0.26111973696227964</v>
      </c>
      <c r="T91" s="5">
        <f>59.35</f>
        <v>59.35</v>
      </c>
      <c r="U91" s="9">
        <f t="shared" si="50"/>
        <v>5.4205863549182567E-2</v>
      </c>
      <c r="V91" s="4"/>
      <c r="W91" s="9">
        <f t="shared" si="51"/>
        <v>0</v>
      </c>
      <c r="X91" s="5">
        <f>18.66</f>
        <v>18.66</v>
      </c>
      <c r="Y91" s="9">
        <f t="shared" si="52"/>
        <v>1.7042652297013426E-2</v>
      </c>
      <c r="Z91" s="5">
        <f t="shared" si="39"/>
        <v>1094.9000000000001</v>
      </c>
      <c r="AA91" s="10">
        <f t="shared" si="38"/>
        <v>0.99999999999999989</v>
      </c>
    </row>
    <row r="92" spans="1:27">
      <c r="A92" s="3" t="s">
        <v>98</v>
      </c>
      <c r="B92" s="5">
        <f t="shared" ref="B92:X92" si="53">776.46</f>
        <v>776.46</v>
      </c>
      <c r="C92" s="9">
        <f t="shared" si="37"/>
        <v>8.3333333333333329E-2</v>
      </c>
      <c r="D92" s="5">
        <f t="shared" si="53"/>
        <v>776.46</v>
      </c>
      <c r="E92" s="9">
        <f t="shared" si="42"/>
        <v>8.3333333333333329E-2</v>
      </c>
      <c r="F92" s="5">
        <f t="shared" si="53"/>
        <v>776.46</v>
      </c>
      <c r="G92" s="9">
        <f t="shared" si="43"/>
        <v>8.3333333333333329E-2</v>
      </c>
      <c r="H92" s="5">
        <f t="shared" si="53"/>
        <v>776.46</v>
      </c>
      <c r="I92" s="9">
        <f t="shared" si="44"/>
        <v>8.3333333333333329E-2</v>
      </c>
      <c r="J92" s="5">
        <f t="shared" si="53"/>
        <v>776.46</v>
      </c>
      <c r="K92" s="9">
        <f t="shared" si="45"/>
        <v>8.3333333333333329E-2</v>
      </c>
      <c r="L92" s="5">
        <f t="shared" si="53"/>
        <v>776.46</v>
      </c>
      <c r="M92" s="9">
        <f t="shared" si="46"/>
        <v>8.3333333333333329E-2</v>
      </c>
      <c r="N92" s="5">
        <f t="shared" si="53"/>
        <v>776.46</v>
      </c>
      <c r="O92" s="9">
        <f t="shared" si="47"/>
        <v>8.3333333333333329E-2</v>
      </c>
      <c r="P92" s="5">
        <f t="shared" si="53"/>
        <v>776.46</v>
      </c>
      <c r="Q92" s="9">
        <f t="shared" si="48"/>
        <v>8.3333333333333329E-2</v>
      </c>
      <c r="R92" s="5">
        <f t="shared" si="53"/>
        <v>776.46</v>
      </c>
      <c r="S92" s="9">
        <f t="shared" si="49"/>
        <v>8.3333333333333329E-2</v>
      </c>
      <c r="T92" s="5">
        <f t="shared" si="53"/>
        <v>776.46</v>
      </c>
      <c r="U92" s="9">
        <f t="shared" si="50"/>
        <v>8.3333333333333329E-2</v>
      </c>
      <c r="V92" s="5">
        <f t="shared" si="53"/>
        <v>776.46</v>
      </c>
      <c r="W92" s="9">
        <f t="shared" si="51"/>
        <v>8.3333333333333329E-2</v>
      </c>
      <c r="X92" s="5">
        <f t="shared" si="53"/>
        <v>776.46</v>
      </c>
      <c r="Y92" s="9">
        <f t="shared" si="52"/>
        <v>8.3333333333333329E-2</v>
      </c>
      <c r="Z92" s="5">
        <f t="shared" si="39"/>
        <v>9317.52</v>
      </c>
      <c r="AA92" s="10">
        <f t="shared" si="38"/>
        <v>1</v>
      </c>
    </row>
    <row r="93" spans="1:27">
      <c r="A93" s="3" t="s">
        <v>99</v>
      </c>
      <c r="B93" s="4"/>
      <c r="C93" s="9">
        <f t="shared" si="37"/>
        <v>0</v>
      </c>
      <c r="D93" s="4"/>
      <c r="E93" s="9">
        <f t="shared" si="42"/>
        <v>0</v>
      </c>
      <c r="F93" s="4"/>
      <c r="G93" s="9">
        <f t="shared" si="43"/>
        <v>0</v>
      </c>
      <c r="H93" s="5">
        <f>230</f>
        <v>230</v>
      </c>
      <c r="I93" s="9">
        <f t="shared" si="44"/>
        <v>0.1111111111111111</v>
      </c>
      <c r="J93" s="5">
        <f>230</f>
        <v>230</v>
      </c>
      <c r="K93" s="9">
        <f t="shared" si="45"/>
        <v>0.1111111111111111</v>
      </c>
      <c r="L93" s="5">
        <f>230</f>
        <v>230</v>
      </c>
      <c r="M93" s="9">
        <f t="shared" si="46"/>
        <v>0.1111111111111111</v>
      </c>
      <c r="N93" s="5">
        <f>230</f>
        <v>230</v>
      </c>
      <c r="O93" s="9">
        <f t="shared" si="47"/>
        <v>0.1111111111111111</v>
      </c>
      <c r="P93" s="5">
        <f>230</f>
        <v>230</v>
      </c>
      <c r="Q93" s="9">
        <f t="shared" si="48"/>
        <v>0.1111111111111111</v>
      </c>
      <c r="R93" s="5">
        <f>230</f>
        <v>230</v>
      </c>
      <c r="S93" s="9">
        <f t="shared" si="49"/>
        <v>0.1111111111111111</v>
      </c>
      <c r="T93" s="5">
        <f>230</f>
        <v>230</v>
      </c>
      <c r="U93" s="9">
        <f t="shared" si="50"/>
        <v>0.1111111111111111</v>
      </c>
      <c r="V93" s="5">
        <f>230</f>
        <v>230</v>
      </c>
      <c r="W93" s="9">
        <f t="shared" si="51"/>
        <v>0.1111111111111111</v>
      </c>
      <c r="X93" s="5">
        <f>230</f>
        <v>230</v>
      </c>
      <c r="Y93" s="9">
        <f t="shared" si="52"/>
        <v>0.1111111111111111</v>
      </c>
      <c r="Z93" s="5">
        <f t="shared" si="39"/>
        <v>2070</v>
      </c>
      <c r="AA93" s="10">
        <f t="shared" si="38"/>
        <v>1.0000000000000002</v>
      </c>
    </row>
    <row r="94" spans="1:27">
      <c r="A94" s="3" t="s">
        <v>100</v>
      </c>
      <c r="B94" s="4"/>
      <c r="C94" s="9" t="e">
        <f t="shared" si="37"/>
        <v>#DIV/0!</v>
      </c>
      <c r="D94" s="4"/>
      <c r="E94" s="9" t="e">
        <f t="shared" si="42"/>
        <v>#DIV/0!</v>
      </c>
      <c r="F94" s="4"/>
      <c r="G94" s="9" t="e">
        <f t="shared" si="43"/>
        <v>#DIV/0!</v>
      </c>
      <c r="H94" s="4"/>
      <c r="I94" s="9" t="e">
        <f t="shared" si="44"/>
        <v>#DIV/0!</v>
      </c>
      <c r="J94" s="4"/>
      <c r="K94" s="9" t="e">
        <f t="shared" si="45"/>
        <v>#DIV/0!</v>
      </c>
      <c r="L94" s="4"/>
      <c r="M94" s="9" t="e">
        <f t="shared" si="46"/>
        <v>#DIV/0!</v>
      </c>
      <c r="N94" s="4"/>
      <c r="O94" s="9" t="e">
        <f t="shared" si="47"/>
        <v>#DIV/0!</v>
      </c>
      <c r="P94" s="4"/>
      <c r="Q94" s="9" t="e">
        <f t="shared" si="48"/>
        <v>#DIV/0!</v>
      </c>
      <c r="R94" s="4"/>
      <c r="S94" s="9" t="e">
        <f t="shared" si="49"/>
        <v>#DIV/0!</v>
      </c>
      <c r="T94" s="4"/>
      <c r="U94" s="9" t="e">
        <f t="shared" si="50"/>
        <v>#DIV/0!</v>
      </c>
      <c r="V94" s="4"/>
      <c r="W94" s="9" t="e">
        <f t="shared" si="51"/>
        <v>#DIV/0!</v>
      </c>
      <c r="X94" s="4"/>
      <c r="Y94" s="9" t="e">
        <f t="shared" si="52"/>
        <v>#DIV/0!</v>
      </c>
      <c r="Z94" s="5">
        <f t="shared" si="39"/>
        <v>0</v>
      </c>
      <c r="AA94" s="10" t="e">
        <f t="shared" si="38"/>
        <v>#DIV/0!</v>
      </c>
    </row>
    <row r="95" spans="1:27">
      <c r="A95" s="3" t="s">
        <v>101</v>
      </c>
      <c r="B95" s="5">
        <f>697</f>
        <v>697</v>
      </c>
      <c r="C95" s="9">
        <f t="shared" si="37"/>
        <v>6.0250910030782437E-2</v>
      </c>
      <c r="D95" s="5">
        <f>1015.05</f>
        <v>1015.05</v>
      </c>
      <c r="E95" s="9">
        <f t="shared" si="42"/>
        <v>8.7744169622303747E-2</v>
      </c>
      <c r="F95" s="5">
        <f>698.48</f>
        <v>698.48</v>
      </c>
      <c r="G95" s="9">
        <f t="shared" si="43"/>
        <v>6.0378845965998448E-2</v>
      </c>
      <c r="H95" s="5">
        <f>3117.85</f>
        <v>3117.85</v>
      </c>
      <c r="I95" s="9">
        <f t="shared" si="44"/>
        <v>0.26951692946840033</v>
      </c>
      <c r="J95" s="5">
        <f>748.95</f>
        <v>748.95</v>
      </c>
      <c r="K95" s="9">
        <f t="shared" si="45"/>
        <v>6.4741634243263291E-2</v>
      </c>
      <c r="L95" s="5">
        <f>906.93</f>
        <v>906.93</v>
      </c>
      <c r="M95" s="9">
        <f t="shared" si="46"/>
        <v>7.8397930895577492E-2</v>
      </c>
      <c r="N95" s="5">
        <f>660</f>
        <v>660</v>
      </c>
      <c r="O95" s="9">
        <f t="shared" si="47"/>
        <v>5.705251165038222E-2</v>
      </c>
      <c r="P95" s="5">
        <f>715.01</f>
        <v>715.01</v>
      </c>
      <c r="Q95" s="9">
        <f t="shared" si="48"/>
        <v>6.1807752053242113E-2</v>
      </c>
      <c r="R95" s="5">
        <f>798.99</f>
        <v>798.99</v>
      </c>
      <c r="S95" s="9">
        <f t="shared" si="49"/>
        <v>6.9067251944755895E-2</v>
      </c>
      <c r="T95" s="5">
        <f>719.99</f>
        <v>719.99</v>
      </c>
      <c r="U95" s="9">
        <f t="shared" si="50"/>
        <v>6.2238239186604087E-2</v>
      </c>
      <c r="V95" s="5">
        <f>796</f>
        <v>796</v>
      </c>
      <c r="W95" s="9">
        <f t="shared" si="51"/>
        <v>6.8808786778339764E-2</v>
      </c>
      <c r="X95" s="5">
        <f>694.04</f>
        <v>694.04</v>
      </c>
      <c r="Y95" s="9">
        <f t="shared" si="52"/>
        <v>5.9995038160350414E-2</v>
      </c>
      <c r="Z95" s="5">
        <f t="shared" si="39"/>
        <v>11568.289999999997</v>
      </c>
      <c r="AA95" s="10">
        <f t="shared" si="38"/>
        <v>1.0000000000000002</v>
      </c>
    </row>
    <row r="96" spans="1:27">
      <c r="A96" s="3" t="s">
        <v>102</v>
      </c>
      <c r="B96" s="5">
        <f>307.54</f>
        <v>307.54000000000002</v>
      </c>
      <c r="C96" s="9">
        <f t="shared" si="37"/>
        <v>0.10293192315416026</v>
      </c>
      <c r="D96" s="4"/>
      <c r="E96" s="9">
        <f t="shared" si="42"/>
        <v>0</v>
      </c>
      <c r="F96" s="5">
        <f>307.52</f>
        <v>307.52</v>
      </c>
      <c r="G96" s="9">
        <f t="shared" si="43"/>
        <v>0.10292522926568044</v>
      </c>
      <c r="H96" s="5">
        <f>307.52</f>
        <v>307.52</v>
      </c>
      <c r="I96" s="9">
        <f t="shared" si="44"/>
        <v>0.10292522926568044</v>
      </c>
      <c r="J96" s="5">
        <f>307.52</f>
        <v>307.52</v>
      </c>
      <c r="K96" s="9">
        <f t="shared" si="45"/>
        <v>0.10292522926568044</v>
      </c>
      <c r="L96" s="5">
        <f>307.44</f>
        <v>307.44</v>
      </c>
      <c r="M96" s="9">
        <f t="shared" si="46"/>
        <v>0.10289845371176116</v>
      </c>
      <c r="N96" s="5">
        <f>307.44</f>
        <v>307.44</v>
      </c>
      <c r="O96" s="9">
        <f t="shared" si="47"/>
        <v>0.10289845371176116</v>
      </c>
      <c r="P96" s="5">
        <f>307.44</f>
        <v>307.44</v>
      </c>
      <c r="Q96" s="9">
        <f t="shared" si="48"/>
        <v>0.10289845371176116</v>
      </c>
      <c r="R96" s="5">
        <f>168.47</f>
        <v>168.47</v>
      </c>
      <c r="S96" s="9">
        <f t="shared" si="49"/>
        <v>5.6385969609746303E-2</v>
      </c>
      <c r="T96" s="5">
        <f>222.26</f>
        <v>222.26</v>
      </c>
      <c r="U96" s="9">
        <f t="shared" si="50"/>
        <v>7.4389182676216623E-2</v>
      </c>
      <c r="V96" s="5">
        <f>222.26</f>
        <v>222.26</v>
      </c>
      <c r="W96" s="9">
        <f t="shared" si="51"/>
        <v>7.4389182676216623E-2</v>
      </c>
      <c r="X96" s="5">
        <f>222.39</f>
        <v>222.39</v>
      </c>
      <c r="Y96" s="9">
        <f t="shared" si="52"/>
        <v>7.4432692951335436E-2</v>
      </c>
      <c r="Z96" s="5">
        <f t="shared" si="39"/>
        <v>2987.7999999999997</v>
      </c>
      <c r="AA96" s="10">
        <f t="shared" si="38"/>
        <v>1.0000000000000002</v>
      </c>
    </row>
    <row r="97" spans="1:27">
      <c r="A97" s="3" t="s">
        <v>103</v>
      </c>
      <c r="B97" s="5">
        <f>607.37</f>
        <v>607.37</v>
      </c>
      <c r="C97" s="9">
        <f t="shared" si="37"/>
        <v>0.17553488183901667</v>
      </c>
      <c r="D97" s="5">
        <f>187.86</f>
        <v>187.86</v>
      </c>
      <c r="E97" s="9">
        <f t="shared" si="42"/>
        <v>5.429307160755005E-2</v>
      </c>
      <c r="F97" s="5">
        <f>233.81</f>
        <v>233.81</v>
      </c>
      <c r="G97" s="9">
        <f t="shared" si="43"/>
        <v>6.7572996234223762E-2</v>
      </c>
      <c r="H97" s="5">
        <f>407.37</f>
        <v>407.37</v>
      </c>
      <c r="I97" s="9">
        <f t="shared" si="44"/>
        <v>0.11773325125501791</v>
      </c>
      <c r="J97" s="5">
        <f>202.81</f>
        <v>202.81</v>
      </c>
      <c r="K97" s="9">
        <f t="shared" si="45"/>
        <v>5.8613743493703956E-2</v>
      </c>
      <c r="L97" s="5">
        <f>314.54</f>
        <v>314.54000000000002</v>
      </c>
      <c r="M97" s="9">
        <f t="shared" si="46"/>
        <v>9.0904624419454877E-2</v>
      </c>
      <c r="N97" s="5">
        <f>187.86</f>
        <v>187.86</v>
      </c>
      <c r="O97" s="9">
        <f t="shared" si="47"/>
        <v>5.429307160755005E-2</v>
      </c>
      <c r="P97" s="5">
        <f>202.81</f>
        <v>202.81</v>
      </c>
      <c r="Q97" s="9">
        <f t="shared" si="48"/>
        <v>5.8613743493703956E-2</v>
      </c>
      <c r="R97" s="5">
        <f>323.55</f>
        <v>323.55</v>
      </c>
      <c r="S97" s="9">
        <f t="shared" si="49"/>
        <v>9.3508587877264016E-2</v>
      </c>
      <c r="T97" s="5">
        <f>202.81</f>
        <v>202.81</v>
      </c>
      <c r="U97" s="9">
        <f t="shared" si="50"/>
        <v>5.8613743493703956E-2</v>
      </c>
      <c r="V97" s="5">
        <f>187.86</f>
        <v>187.86</v>
      </c>
      <c r="W97" s="9">
        <f t="shared" si="51"/>
        <v>5.429307160755005E-2</v>
      </c>
      <c r="X97" s="5">
        <f>401.46</f>
        <v>401.46</v>
      </c>
      <c r="Y97" s="9">
        <f t="shared" si="52"/>
        <v>0.11602521307126074</v>
      </c>
      <c r="Z97" s="5">
        <f t="shared" si="39"/>
        <v>3460.11</v>
      </c>
      <c r="AA97" s="10">
        <f t="shared" si="38"/>
        <v>1</v>
      </c>
    </row>
    <row r="98" spans="1:27">
      <c r="A98" s="3" t="s">
        <v>104</v>
      </c>
      <c r="B98" s="5">
        <f>100</f>
        <v>100</v>
      </c>
      <c r="C98" s="9">
        <f t="shared" si="37"/>
        <v>0.11428571428571428</v>
      </c>
      <c r="D98" s="4"/>
      <c r="E98" s="9">
        <f t="shared" si="42"/>
        <v>0</v>
      </c>
      <c r="F98" s="5">
        <f>300</f>
        <v>300</v>
      </c>
      <c r="G98" s="9">
        <f t="shared" si="43"/>
        <v>0.34285714285714286</v>
      </c>
      <c r="H98" s="4"/>
      <c r="I98" s="9">
        <f t="shared" si="44"/>
        <v>0</v>
      </c>
      <c r="J98" s="4"/>
      <c r="K98" s="9">
        <f t="shared" si="45"/>
        <v>0</v>
      </c>
      <c r="L98" s="5">
        <f>25</f>
        <v>25</v>
      </c>
      <c r="M98" s="9">
        <f t="shared" si="46"/>
        <v>2.8571428571428571E-2</v>
      </c>
      <c r="N98" s="4"/>
      <c r="O98" s="9">
        <f t="shared" si="47"/>
        <v>0</v>
      </c>
      <c r="P98" s="4"/>
      <c r="Q98" s="9">
        <f t="shared" si="48"/>
        <v>0</v>
      </c>
      <c r="R98" s="4"/>
      <c r="S98" s="9">
        <f t="shared" si="49"/>
        <v>0</v>
      </c>
      <c r="T98" s="4"/>
      <c r="U98" s="9">
        <f t="shared" si="50"/>
        <v>0</v>
      </c>
      <c r="V98" s="5">
        <f>450</f>
        <v>450</v>
      </c>
      <c r="W98" s="9">
        <f t="shared" si="51"/>
        <v>0.51428571428571423</v>
      </c>
      <c r="X98" s="4"/>
      <c r="Y98" s="9">
        <f t="shared" si="52"/>
        <v>0</v>
      </c>
      <c r="Z98" s="5">
        <f t="shared" si="39"/>
        <v>875</v>
      </c>
      <c r="AA98" s="10">
        <f t="shared" si="38"/>
        <v>1</v>
      </c>
    </row>
    <row r="99" spans="1:27">
      <c r="A99" s="3" t="s">
        <v>105</v>
      </c>
      <c r="B99" s="6">
        <f t="shared" ref="B99:X99" si="54">((((B94)+(B95))+(B96))+(B97))+(B98)</f>
        <v>1711.9099999999999</v>
      </c>
      <c r="C99" s="9">
        <f t="shared" si="37"/>
        <v>9.0619441856525776E-2</v>
      </c>
      <c r="D99" s="6">
        <f t="shared" si="54"/>
        <v>1202.9099999999999</v>
      </c>
      <c r="E99" s="9">
        <f t="shared" si="42"/>
        <v>6.3675679681544833E-2</v>
      </c>
      <c r="F99" s="6">
        <f t="shared" si="54"/>
        <v>1539.81</v>
      </c>
      <c r="G99" s="9">
        <f t="shared" si="43"/>
        <v>8.1509380028796471E-2</v>
      </c>
      <c r="H99" s="6">
        <f t="shared" si="54"/>
        <v>3832.74</v>
      </c>
      <c r="I99" s="9">
        <f t="shared" si="44"/>
        <v>0.20288494113661384</v>
      </c>
      <c r="J99" s="6">
        <f t="shared" si="54"/>
        <v>1259.28</v>
      </c>
      <c r="K99" s="9">
        <f t="shared" si="45"/>
        <v>6.6659608706699416E-2</v>
      </c>
      <c r="L99" s="6">
        <f t="shared" si="54"/>
        <v>1553.9099999999999</v>
      </c>
      <c r="M99" s="9">
        <f t="shared" si="46"/>
        <v>8.2255759295333269E-2</v>
      </c>
      <c r="N99" s="6">
        <f t="shared" si="54"/>
        <v>1155.3000000000002</v>
      </c>
      <c r="O99" s="9">
        <f t="shared" si="47"/>
        <v>6.1155458626238682E-2</v>
      </c>
      <c r="P99" s="6">
        <f t="shared" si="54"/>
        <v>1225.26</v>
      </c>
      <c r="Q99" s="9">
        <f t="shared" si="48"/>
        <v>6.4858770221055309E-2</v>
      </c>
      <c r="R99" s="6">
        <f t="shared" si="54"/>
        <v>1291.01</v>
      </c>
      <c r="S99" s="9">
        <f t="shared" si="49"/>
        <v>6.8339226729905986E-2</v>
      </c>
      <c r="T99" s="6">
        <f t="shared" si="54"/>
        <v>1145.06</v>
      </c>
      <c r="U99" s="9">
        <f t="shared" si="50"/>
        <v>6.0613407300753784E-2</v>
      </c>
      <c r="V99" s="6">
        <f t="shared" si="54"/>
        <v>1656.12</v>
      </c>
      <c r="W99" s="9">
        <f t="shared" si="51"/>
        <v>8.7666214957228747E-2</v>
      </c>
      <c r="X99" s="6">
        <f t="shared" si="54"/>
        <v>1317.8899999999999</v>
      </c>
      <c r="Y99" s="9">
        <f t="shared" si="52"/>
        <v>6.9762111459303791E-2</v>
      </c>
      <c r="Z99" s="6">
        <f t="shared" si="39"/>
        <v>18891.2</v>
      </c>
      <c r="AA99" s="10">
        <f t="shared" si="38"/>
        <v>1</v>
      </c>
    </row>
    <row r="100" spans="1:27">
      <c r="A100" s="3" t="s">
        <v>106</v>
      </c>
      <c r="B100" s="5">
        <f t="shared" ref="B100:X100" si="55">108.36</f>
        <v>108.36</v>
      </c>
      <c r="C100" s="9">
        <f t="shared" si="37"/>
        <v>8.3333333333333356E-2</v>
      </c>
      <c r="D100" s="5">
        <f t="shared" si="55"/>
        <v>108.36</v>
      </c>
      <c r="E100" s="9">
        <f t="shared" si="42"/>
        <v>8.3333333333333356E-2</v>
      </c>
      <c r="F100" s="5">
        <f t="shared" si="55"/>
        <v>108.36</v>
      </c>
      <c r="G100" s="9">
        <f t="shared" si="43"/>
        <v>8.3333333333333356E-2</v>
      </c>
      <c r="H100" s="5">
        <f t="shared" si="55"/>
        <v>108.36</v>
      </c>
      <c r="I100" s="9">
        <f t="shared" si="44"/>
        <v>8.3333333333333356E-2</v>
      </c>
      <c r="J100" s="5">
        <f t="shared" si="55"/>
        <v>108.36</v>
      </c>
      <c r="K100" s="9">
        <f t="shared" si="45"/>
        <v>8.3333333333333356E-2</v>
      </c>
      <c r="L100" s="5">
        <f t="shared" si="55"/>
        <v>108.36</v>
      </c>
      <c r="M100" s="9">
        <f t="shared" si="46"/>
        <v>8.3333333333333356E-2</v>
      </c>
      <c r="N100" s="5">
        <f t="shared" si="55"/>
        <v>108.36</v>
      </c>
      <c r="O100" s="9">
        <f t="shared" si="47"/>
        <v>8.3333333333333356E-2</v>
      </c>
      <c r="P100" s="5">
        <f t="shared" si="55"/>
        <v>108.36</v>
      </c>
      <c r="Q100" s="9">
        <f t="shared" si="48"/>
        <v>8.3333333333333356E-2</v>
      </c>
      <c r="R100" s="5">
        <f t="shared" si="55"/>
        <v>108.36</v>
      </c>
      <c r="S100" s="9">
        <f t="shared" si="49"/>
        <v>8.3333333333333356E-2</v>
      </c>
      <c r="T100" s="5">
        <f t="shared" si="55"/>
        <v>108.36</v>
      </c>
      <c r="U100" s="9">
        <f t="shared" si="50"/>
        <v>8.3333333333333356E-2</v>
      </c>
      <c r="V100" s="5">
        <f t="shared" si="55"/>
        <v>108.36</v>
      </c>
      <c r="W100" s="9">
        <f t="shared" si="51"/>
        <v>8.3333333333333356E-2</v>
      </c>
      <c r="X100" s="5">
        <f t="shared" si="55"/>
        <v>108.36</v>
      </c>
      <c r="Y100" s="9">
        <f t="shared" si="52"/>
        <v>8.3333333333333356E-2</v>
      </c>
      <c r="Z100" s="5">
        <f t="shared" si="39"/>
        <v>1300.3199999999997</v>
      </c>
      <c r="AA100" s="10">
        <f t="shared" si="38"/>
        <v>1.0000000000000002</v>
      </c>
    </row>
    <row r="101" spans="1:27">
      <c r="A101" s="3" t="s">
        <v>107</v>
      </c>
      <c r="B101" s="4"/>
      <c r="C101" s="9" t="e">
        <f t="shared" si="37"/>
        <v>#DIV/0!</v>
      </c>
      <c r="D101" s="4"/>
      <c r="E101" s="9" t="e">
        <f t="shared" si="42"/>
        <v>#DIV/0!</v>
      </c>
      <c r="F101" s="4"/>
      <c r="G101" s="9" t="e">
        <f t="shared" si="43"/>
        <v>#DIV/0!</v>
      </c>
      <c r="H101" s="4"/>
      <c r="I101" s="9" t="e">
        <f t="shared" si="44"/>
        <v>#DIV/0!</v>
      </c>
      <c r="J101" s="4"/>
      <c r="K101" s="9" t="e">
        <f t="shared" si="45"/>
        <v>#DIV/0!</v>
      </c>
      <c r="L101" s="4"/>
      <c r="M101" s="9" t="e">
        <f t="shared" si="46"/>
        <v>#DIV/0!</v>
      </c>
      <c r="N101" s="4"/>
      <c r="O101" s="9" t="e">
        <f t="shared" si="47"/>
        <v>#DIV/0!</v>
      </c>
      <c r="P101" s="4"/>
      <c r="Q101" s="9" t="e">
        <f t="shared" si="48"/>
        <v>#DIV/0!</v>
      </c>
      <c r="R101" s="4"/>
      <c r="S101" s="9" t="e">
        <f t="shared" si="49"/>
        <v>#DIV/0!</v>
      </c>
      <c r="T101" s="4"/>
      <c r="U101" s="9" t="e">
        <f t="shared" si="50"/>
        <v>#DIV/0!</v>
      </c>
      <c r="V101" s="4"/>
      <c r="W101" s="9" t="e">
        <f t="shared" si="51"/>
        <v>#DIV/0!</v>
      </c>
      <c r="X101" s="4"/>
      <c r="Y101" s="9" t="e">
        <f t="shared" si="52"/>
        <v>#DIV/0!</v>
      </c>
      <c r="Z101" s="5">
        <f t="shared" si="39"/>
        <v>0</v>
      </c>
      <c r="AA101" s="10" t="e">
        <f t="shared" si="38"/>
        <v>#DIV/0!</v>
      </c>
    </row>
    <row r="102" spans="1:27">
      <c r="A102" s="3" t="s">
        <v>108</v>
      </c>
      <c r="B102" s="5">
        <f>1240</f>
        <v>1240</v>
      </c>
      <c r="C102" s="9">
        <f t="shared" si="37"/>
        <v>5.2144659377628258E-2</v>
      </c>
      <c r="D102" s="5">
        <f>1740</f>
        <v>1740</v>
      </c>
      <c r="E102" s="9">
        <f t="shared" si="42"/>
        <v>7.3170731707317069E-2</v>
      </c>
      <c r="F102" s="5">
        <f>1840</f>
        <v>1840</v>
      </c>
      <c r="G102" s="9">
        <f t="shared" si="43"/>
        <v>7.7375946173254842E-2</v>
      </c>
      <c r="H102" s="5">
        <f>1520</f>
        <v>1520</v>
      </c>
      <c r="I102" s="9">
        <f t="shared" si="44"/>
        <v>6.3919259882253998E-2</v>
      </c>
      <c r="J102" s="5">
        <f>2120</f>
        <v>2120</v>
      </c>
      <c r="K102" s="9">
        <f t="shared" si="45"/>
        <v>8.9150546677880568E-2</v>
      </c>
      <c r="L102" s="5">
        <f>1900</f>
        <v>1900</v>
      </c>
      <c r="M102" s="9">
        <f t="shared" si="46"/>
        <v>7.9899074852817498E-2</v>
      </c>
      <c r="N102" s="5">
        <f>1500</f>
        <v>1500</v>
      </c>
      <c r="O102" s="9">
        <f t="shared" si="47"/>
        <v>6.3078216989066446E-2</v>
      </c>
      <c r="P102" s="5">
        <f>2080</f>
        <v>2080</v>
      </c>
      <c r="Q102" s="9">
        <f t="shared" si="48"/>
        <v>8.7468460891505465E-2</v>
      </c>
      <c r="R102" s="5">
        <f>1760</f>
        <v>1760</v>
      </c>
      <c r="S102" s="9">
        <f t="shared" si="49"/>
        <v>7.4011774600504621E-2</v>
      </c>
      <c r="T102" s="5">
        <f>1740</f>
        <v>1740</v>
      </c>
      <c r="U102" s="9">
        <f t="shared" si="50"/>
        <v>7.3170731707317069E-2</v>
      </c>
      <c r="V102" s="5">
        <f>2060</f>
        <v>2060</v>
      </c>
      <c r="W102" s="9">
        <f t="shared" si="51"/>
        <v>8.6627417998317913E-2</v>
      </c>
      <c r="X102" s="5">
        <f>4280</f>
        <v>4280</v>
      </c>
      <c r="Y102" s="9">
        <f t="shared" si="52"/>
        <v>0.17998317914213624</v>
      </c>
      <c r="Z102" s="5">
        <f t="shared" si="39"/>
        <v>23780</v>
      </c>
      <c r="AA102" s="10">
        <f t="shared" si="38"/>
        <v>1</v>
      </c>
    </row>
    <row r="103" spans="1:27">
      <c r="A103" s="3" t="s">
        <v>109</v>
      </c>
      <c r="B103" s="5">
        <f t="shared" ref="B103:X103" si="56">7666.66</f>
        <v>7666.66</v>
      </c>
      <c r="C103" s="9">
        <f t="shared" si="37"/>
        <v>8.3333333333333301E-2</v>
      </c>
      <c r="D103" s="5">
        <f t="shared" si="56"/>
        <v>7666.66</v>
      </c>
      <c r="E103" s="9">
        <f t="shared" si="42"/>
        <v>8.3333333333333301E-2</v>
      </c>
      <c r="F103" s="5">
        <f t="shared" si="56"/>
        <v>7666.66</v>
      </c>
      <c r="G103" s="9">
        <f t="shared" si="43"/>
        <v>8.3333333333333301E-2</v>
      </c>
      <c r="H103" s="5">
        <f t="shared" si="56"/>
        <v>7666.66</v>
      </c>
      <c r="I103" s="9">
        <f t="shared" si="44"/>
        <v>8.3333333333333301E-2</v>
      </c>
      <c r="J103" s="5">
        <f t="shared" si="56"/>
        <v>7666.66</v>
      </c>
      <c r="K103" s="9">
        <f t="shared" si="45"/>
        <v>8.3333333333333301E-2</v>
      </c>
      <c r="L103" s="5">
        <f t="shared" si="56"/>
        <v>7666.66</v>
      </c>
      <c r="M103" s="9">
        <f t="shared" si="46"/>
        <v>8.3333333333333301E-2</v>
      </c>
      <c r="N103" s="5">
        <f t="shared" si="56"/>
        <v>7666.66</v>
      </c>
      <c r="O103" s="9">
        <f t="shared" si="47"/>
        <v>8.3333333333333301E-2</v>
      </c>
      <c r="P103" s="5">
        <f t="shared" si="56"/>
        <v>7666.66</v>
      </c>
      <c r="Q103" s="9">
        <f t="shared" si="48"/>
        <v>8.3333333333333301E-2</v>
      </c>
      <c r="R103" s="5">
        <f t="shared" si="56"/>
        <v>7666.66</v>
      </c>
      <c r="S103" s="9">
        <f t="shared" si="49"/>
        <v>8.3333333333333301E-2</v>
      </c>
      <c r="T103" s="5">
        <f t="shared" si="56"/>
        <v>7666.66</v>
      </c>
      <c r="U103" s="9">
        <f t="shared" si="50"/>
        <v>8.3333333333333301E-2</v>
      </c>
      <c r="V103" s="5">
        <f t="shared" si="56"/>
        <v>7666.66</v>
      </c>
      <c r="W103" s="9">
        <f t="shared" si="51"/>
        <v>8.3333333333333301E-2</v>
      </c>
      <c r="X103" s="5">
        <f t="shared" si="56"/>
        <v>7666.66</v>
      </c>
      <c r="Y103" s="9">
        <f t="shared" si="52"/>
        <v>8.3333333333333301E-2</v>
      </c>
      <c r="Z103" s="5">
        <f t="shared" si="39"/>
        <v>91999.920000000027</v>
      </c>
      <c r="AA103" s="10">
        <f t="shared" si="38"/>
        <v>0.99999999999999944</v>
      </c>
    </row>
    <row r="104" spans="1:27">
      <c r="A104" s="3" t="s">
        <v>110</v>
      </c>
      <c r="B104" s="6">
        <f t="shared" ref="B104:X104" si="57">((B101)+(B102))+(B103)</f>
        <v>8906.66</v>
      </c>
      <c r="C104" s="9">
        <f t="shared" si="37"/>
        <v>7.6927501763690953E-2</v>
      </c>
      <c r="D104" s="6">
        <f t="shared" si="57"/>
        <v>9406.66</v>
      </c>
      <c r="E104" s="9">
        <f t="shared" si="42"/>
        <v>8.1246039900528505E-2</v>
      </c>
      <c r="F104" s="6">
        <f t="shared" si="57"/>
        <v>9506.66</v>
      </c>
      <c r="G104" s="9">
        <f t="shared" si="43"/>
        <v>8.2109747527896002E-2</v>
      </c>
      <c r="H104" s="6">
        <f t="shared" si="57"/>
        <v>9186.66</v>
      </c>
      <c r="I104" s="9">
        <f t="shared" si="44"/>
        <v>7.9345883120319982E-2</v>
      </c>
      <c r="J104" s="6">
        <f t="shared" si="57"/>
        <v>9786.66</v>
      </c>
      <c r="K104" s="9">
        <f t="shared" si="45"/>
        <v>8.4528128884525031E-2</v>
      </c>
      <c r="L104" s="6">
        <f t="shared" si="57"/>
        <v>9566.66</v>
      </c>
      <c r="M104" s="9">
        <f t="shared" si="46"/>
        <v>8.2627972104316508E-2</v>
      </c>
      <c r="N104" s="6">
        <f t="shared" si="57"/>
        <v>9166.66</v>
      </c>
      <c r="O104" s="9">
        <f t="shared" si="47"/>
        <v>7.917314159484648E-2</v>
      </c>
      <c r="P104" s="6">
        <f t="shared" si="57"/>
        <v>9746.66</v>
      </c>
      <c r="Q104" s="9">
        <f t="shared" si="48"/>
        <v>8.4182645833578026E-2</v>
      </c>
      <c r="R104" s="6">
        <f t="shared" si="57"/>
        <v>9426.66</v>
      </c>
      <c r="S104" s="9">
        <f t="shared" si="49"/>
        <v>8.1418781426002007E-2</v>
      </c>
      <c r="T104" s="6">
        <f t="shared" si="57"/>
        <v>9406.66</v>
      </c>
      <c r="U104" s="9">
        <f t="shared" si="50"/>
        <v>8.1246039900528505E-2</v>
      </c>
      <c r="V104" s="6">
        <f t="shared" si="57"/>
        <v>9726.66</v>
      </c>
      <c r="W104" s="9">
        <f t="shared" si="51"/>
        <v>8.4009904308104524E-2</v>
      </c>
      <c r="X104" s="6">
        <f t="shared" si="57"/>
        <v>11946.66</v>
      </c>
      <c r="Y104" s="9">
        <f t="shared" si="52"/>
        <v>0.10318421363566323</v>
      </c>
      <c r="Z104" s="6">
        <f t="shared" si="39"/>
        <v>115779.92000000003</v>
      </c>
      <c r="AA104" s="10">
        <f t="shared" si="38"/>
        <v>0.99999999999999967</v>
      </c>
    </row>
    <row r="105" spans="1:27">
      <c r="A105" s="3" t="s">
        <v>111</v>
      </c>
      <c r="B105" s="5">
        <f t="shared" ref="B105:T105" si="58">151.98</f>
        <v>151.97999999999999</v>
      </c>
      <c r="C105" s="9">
        <f t="shared" si="37"/>
        <v>9.0909090909090898E-2</v>
      </c>
      <c r="D105" s="5">
        <f t="shared" si="58"/>
        <v>151.97999999999999</v>
      </c>
      <c r="E105" s="9">
        <f t="shared" si="42"/>
        <v>9.0909090909090898E-2</v>
      </c>
      <c r="F105" s="5">
        <f t="shared" si="58"/>
        <v>151.97999999999999</v>
      </c>
      <c r="G105" s="9">
        <f t="shared" si="43"/>
        <v>9.0909090909090898E-2</v>
      </c>
      <c r="H105" s="5">
        <f t="shared" si="58"/>
        <v>151.97999999999999</v>
      </c>
      <c r="I105" s="9">
        <f t="shared" si="44"/>
        <v>9.0909090909090898E-2</v>
      </c>
      <c r="J105" s="5">
        <f t="shared" si="58"/>
        <v>151.97999999999999</v>
      </c>
      <c r="K105" s="9">
        <f t="shared" si="45"/>
        <v>9.0909090909090898E-2</v>
      </c>
      <c r="L105" s="5">
        <f t="shared" si="58"/>
        <v>151.97999999999999</v>
      </c>
      <c r="M105" s="9">
        <f t="shared" si="46"/>
        <v>9.0909090909090898E-2</v>
      </c>
      <c r="N105" s="5">
        <f t="shared" si="58"/>
        <v>151.97999999999999</v>
      </c>
      <c r="O105" s="9">
        <f t="shared" si="47"/>
        <v>9.0909090909090898E-2</v>
      </c>
      <c r="P105" s="5">
        <f t="shared" si="58"/>
        <v>151.97999999999999</v>
      </c>
      <c r="Q105" s="9">
        <f t="shared" si="48"/>
        <v>9.0909090909090898E-2</v>
      </c>
      <c r="R105" s="5">
        <f t="shared" si="58"/>
        <v>151.97999999999999</v>
      </c>
      <c r="S105" s="9">
        <f t="shared" si="49"/>
        <v>9.0909090909090898E-2</v>
      </c>
      <c r="T105" s="5">
        <f t="shared" si="58"/>
        <v>151.97999999999999</v>
      </c>
      <c r="U105" s="9">
        <f t="shared" si="50"/>
        <v>9.0909090909090898E-2</v>
      </c>
      <c r="V105" s="4"/>
      <c r="W105" s="9">
        <f t="shared" si="51"/>
        <v>0</v>
      </c>
      <c r="X105" s="5">
        <f>151.98</f>
        <v>151.97999999999999</v>
      </c>
      <c r="Y105" s="9">
        <f t="shared" si="52"/>
        <v>9.0909090909090898E-2</v>
      </c>
      <c r="Z105" s="5">
        <f t="shared" si="39"/>
        <v>1671.78</v>
      </c>
      <c r="AA105" s="10">
        <f t="shared" si="38"/>
        <v>1</v>
      </c>
    </row>
    <row r="106" spans="1:27">
      <c r="A106" s="3" t="s">
        <v>112</v>
      </c>
      <c r="B106" s="6">
        <f t="shared" ref="B106:X106" si="59">(((((((((((((((((((B74)+(B75))+(B76))+(B77))+(B78))+(B81))+(B82))+(B83))+(B84))+(B87))+(B88))+(B89))+(B90))+(B91))+(B92))+(B93))+(B99))+(B100))+(B104))+(B105)</f>
        <v>15219.36</v>
      </c>
      <c r="C106" s="9">
        <f t="shared" si="37"/>
        <v>8.1444551026059894E-2</v>
      </c>
      <c r="D106" s="6">
        <f t="shared" si="59"/>
        <v>13718.21</v>
      </c>
      <c r="E106" s="9">
        <f t="shared" si="42"/>
        <v>7.3411329670314981E-2</v>
      </c>
      <c r="F106" s="6">
        <f t="shared" si="59"/>
        <v>15438.119999999999</v>
      </c>
      <c r="G106" s="9">
        <f t="shared" si="43"/>
        <v>8.2615218516838784E-2</v>
      </c>
      <c r="H106" s="6">
        <f t="shared" si="59"/>
        <v>18467.2</v>
      </c>
      <c r="I106" s="9">
        <f t="shared" si="44"/>
        <v>9.8824971136003956E-2</v>
      </c>
      <c r="J106" s="6">
        <f t="shared" si="59"/>
        <v>15442.22</v>
      </c>
      <c r="K106" s="9">
        <f t="shared" si="45"/>
        <v>8.2637159167379085E-2</v>
      </c>
      <c r="L106" s="6">
        <f t="shared" si="59"/>
        <v>15416.89</v>
      </c>
      <c r="M106" s="9">
        <f t="shared" si="46"/>
        <v>8.2501608758065545E-2</v>
      </c>
      <c r="N106" s="6">
        <f t="shared" si="59"/>
        <v>14603.43</v>
      </c>
      <c r="O106" s="9">
        <f t="shared" si="47"/>
        <v>7.8148476663308694E-2</v>
      </c>
      <c r="P106" s="6">
        <f t="shared" si="59"/>
        <v>15873.789999999999</v>
      </c>
      <c r="Q106" s="9">
        <f t="shared" si="48"/>
        <v>8.4946653448762566E-2</v>
      </c>
      <c r="R106" s="6">
        <f t="shared" si="59"/>
        <v>15162.27</v>
      </c>
      <c r="S106" s="9">
        <f t="shared" si="49"/>
        <v>8.1139040845731827E-2</v>
      </c>
      <c r="T106" s="6">
        <f t="shared" si="59"/>
        <v>14716.77</v>
      </c>
      <c r="U106" s="9">
        <f t="shared" si="50"/>
        <v>7.8755001866293153E-2</v>
      </c>
      <c r="V106" s="6">
        <f t="shared" si="59"/>
        <v>15016.64</v>
      </c>
      <c r="W106" s="9">
        <f t="shared" si="51"/>
        <v>8.0359719641297137E-2</v>
      </c>
      <c r="X106" s="6">
        <f t="shared" si="59"/>
        <v>17792.849999999999</v>
      </c>
      <c r="Y106" s="9">
        <f t="shared" si="52"/>
        <v>9.5216269259944544E-2</v>
      </c>
      <c r="Z106" s="6">
        <f t="shared" si="39"/>
        <v>186867.74999999997</v>
      </c>
      <c r="AA106" s="10">
        <f t="shared" si="38"/>
        <v>1.0000000000000002</v>
      </c>
    </row>
    <row r="107" spans="1:27">
      <c r="A107" s="3" t="s">
        <v>113</v>
      </c>
      <c r="B107" s="6">
        <f t="shared" ref="B107:X107" si="60">(B72)-(B106)</f>
        <v>1482.2699999999968</v>
      </c>
      <c r="C107" s="9">
        <f t="shared" si="37"/>
        <v>-0.10488838003153129</v>
      </c>
      <c r="D107" s="6">
        <f t="shared" si="60"/>
        <v>4252.619999999999</v>
      </c>
      <c r="E107" s="9">
        <f t="shared" si="42"/>
        <v>-0.30092386858648656</v>
      </c>
      <c r="F107" s="6">
        <f t="shared" si="60"/>
        <v>4272.630000000001</v>
      </c>
      <c r="G107" s="9">
        <f t="shared" si="43"/>
        <v>-0.30233981607542665</v>
      </c>
      <c r="H107" s="6">
        <f t="shared" si="60"/>
        <v>-20216.34</v>
      </c>
      <c r="I107" s="9">
        <f t="shared" si="44"/>
        <v>1.4305485186684288</v>
      </c>
      <c r="J107" s="6">
        <f t="shared" si="60"/>
        <v>11790.909999999998</v>
      </c>
      <c r="K107" s="9">
        <f t="shared" si="45"/>
        <v>-0.83434829619272144</v>
      </c>
      <c r="L107" s="6">
        <f t="shared" si="60"/>
        <v>2271.8899999999994</v>
      </c>
      <c r="M107" s="9">
        <f t="shared" si="46"/>
        <v>-0.16076346529973357</v>
      </c>
      <c r="N107" s="6">
        <f t="shared" si="60"/>
        <v>9072.57</v>
      </c>
      <c r="O107" s="9">
        <f t="shared" si="47"/>
        <v>-0.64199313891711496</v>
      </c>
      <c r="P107" s="6">
        <f t="shared" si="60"/>
        <v>698.44000000000051</v>
      </c>
      <c r="Q107" s="9">
        <f t="shared" si="48"/>
        <v>-4.9423006705406523E-2</v>
      </c>
      <c r="R107" s="6">
        <f t="shared" si="60"/>
        <v>-7677.7200000000012</v>
      </c>
      <c r="S107" s="9">
        <f t="shared" si="49"/>
        <v>0.54329077235300605</v>
      </c>
      <c r="T107" s="6">
        <f t="shared" si="60"/>
        <v>-6510.9400000000005</v>
      </c>
      <c r="U107" s="9">
        <f t="shared" si="50"/>
        <v>0.46072709363510017</v>
      </c>
      <c r="V107" s="6">
        <f t="shared" si="60"/>
        <v>9277.4800000000032</v>
      </c>
      <c r="W107" s="9">
        <f t="shared" si="51"/>
        <v>-0.65649297899500991</v>
      </c>
      <c r="X107" s="6">
        <f t="shared" si="60"/>
        <v>-22845.69</v>
      </c>
      <c r="Y107" s="9">
        <f t="shared" si="52"/>
        <v>1.6166065661468958</v>
      </c>
      <c r="Z107" s="6">
        <f t="shared" si="39"/>
        <v>-14131.880000000003</v>
      </c>
      <c r="AA107" s="10">
        <f t="shared" si="38"/>
        <v>1</v>
      </c>
    </row>
    <row r="108" spans="1:27">
      <c r="A108" s="3" t="s">
        <v>114</v>
      </c>
      <c r="B108" s="4"/>
      <c r="C108" s="9" t="e">
        <f t="shared" si="37"/>
        <v>#DIV/0!</v>
      </c>
      <c r="D108" s="4"/>
      <c r="E108" s="9" t="e">
        <f t="shared" si="42"/>
        <v>#DIV/0!</v>
      </c>
      <c r="F108" s="4"/>
      <c r="G108" s="9" t="e">
        <f t="shared" si="43"/>
        <v>#DIV/0!</v>
      </c>
      <c r="H108" s="4"/>
      <c r="I108" s="9" t="e">
        <f t="shared" si="44"/>
        <v>#DIV/0!</v>
      </c>
      <c r="J108" s="4"/>
      <c r="K108" s="9" t="e">
        <f t="shared" si="45"/>
        <v>#DIV/0!</v>
      </c>
      <c r="L108" s="4"/>
      <c r="M108" s="9" t="e">
        <f t="shared" si="46"/>
        <v>#DIV/0!</v>
      </c>
      <c r="N108" s="4"/>
      <c r="O108" s="9" t="e">
        <f t="shared" si="47"/>
        <v>#DIV/0!</v>
      </c>
      <c r="P108" s="4"/>
      <c r="Q108" s="9" t="e">
        <f t="shared" si="48"/>
        <v>#DIV/0!</v>
      </c>
      <c r="R108" s="4"/>
      <c r="S108" s="9" t="e">
        <f t="shared" si="49"/>
        <v>#DIV/0!</v>
      </c>
      <c r="T108" s="4"/>
      <c r="U108" s="9" t="e">
        <f t="shared" si="50"/>
        <v>#DIV/0!</v>
      </c>
      <c r="V108" s="4"/>
      <c r="W108" s="9" t="e">
        <f t="shared" si="51"/>
        <v>#DIV/0!</v>
      </c>
      <c r="X108" s="4"/>
      <c r="Y108" s="9" t="e">
        <f t="shared" si="52"/>
        <v>#DIV/0!</v>
      </c>
      <c r="Z108" s="4"/>
      <c r="AA108" s="10" t="e">
        <f t="shared" si="38"/>
        <v>#DIV/0!</v>
      </c>
    </row>
    <row r="109" spans="1:27">
      <c r="A109" s="3" t="s">
        <v>115</v>
      </c>
      <c r="B109" s="4"/>
      <c r="C109" s="9">
        <f t="shared" si="37"/>
        <v>0</v>
      </c>
      <c r="D109" s="4"/>
      <c r="E109" s="9">
        <f t="shared" si="42"/>
        <v>0</v>
      </c>
      <c r="F109" s="4"/>
      <c r="G109" s="9">
        <f t="shared" si="43"/>
        <v>0</v>
      </c>
      <c r="H109" s="5">
        <f>2500</f>
        <v>2500</v>
      </c>
      <c r="I109" s="9">
        <f t="shared" si="44"/>
        <v>1</v>
      </c>
      <c r="J109" s="4"/>
      <c r="K109" s="9">
        <f t="shared" si="45"/>
        <v>0</v>
      </c>
      <c r="L109" s="4"/>
      <c r="M109" s="9">
        <f t="shared" si="46"/>
        <v>0</v>
      </c>
      <c r="N109" s="4"/>
      <c r="O109" s="9">
        <f t="shared" si="47"/>
        <v>0</v>
      </c>
      <c r="P109" s="4"/>
      <c r="Q109" s="9">
        <f t="shared" si="48"/>
        <v>0</v>
      </c>
      <c r="R109" s="4"/>
      <c r="S109" s="9">
        <f t="shared" si="49"/>
        <v>0</v>
      </c>
      <c r="T109" s="4"/>
      <c r="U109" s="9">
        <f t="shared" si="50"/>
        <v>0</v>
      </c>
      <c r="V109" s="4"/>
      <c r="W109" s="9">
        <f t="shared" si="51"/>
        <v>0</v>
      </c>
      <c r="X109" s="4"/>
      <c r="Y109" s="9">
        <f t="shared" si="52"/>
        <v>0</v>
      </c>
      <c r="Z109" s="5">
        <f>(((((((((((B109)+(D109))+(F109))+(H109))+(J109))+(L109))+(N109))+(P109))+(R109))+(T109))+(V109))+(X109)</f>
        <v>2500</v>
      </c>
      <c r="AA109" s="10">
        <f t="shared" si="38"/>
        <v>1</v>
      </c>
    </row>
    <row r="110" spans="1:27">
      <c r="A110" s="3" t="s">
        <v>116</v>
      </c>
      <c r="B110" s="5">
        <f>7.54</f>
        <v>7.54</v>
      </c>
      <c r="C110" s="9">
        <f t="shared" si="37"/>
        <v>8.2639193336256037E-2</v>
      </c>
      <c r="D110" s="5">
        <f>13.25</f>
        <v>13.25</v>
      </c>
      <c r="E110" s="9">
        <f t="shared" si="42"/>
        <v>0.14522139412538362</v>
      </c>
      <c r="F110" s="5">
        <f>1.63</f>
        <v>1.63</v>
      </c>
      <c r="G110" s="9">
        <f t="shared" si="43"/>
        <v>1.7864971503726436E-2</v>
      </c>
      <c r="H110" s="5">
        <f>7.43</f>
        <v>7.43</v>
      </c>
      <c r="I110" s="9">
        <f t="shared" si="44"/>
        <v>8.1433581762384924E-2</v>
      </c>
      <c r="J110" s="5">
        <f>13.49</f>
        <v>13.49</v>
      </c>
      <c r="K110" s="9">
        <f t="shared" si="45"/>
        <v>0.14785181937746603</v>
      </c>
      <c r="L110" s="5">
        <f>1.72</f>
        <v>1.72</v>
      </c>
      <c r="M110" s="9">
        <f t="shared" si="46"/>
        <v>1.8851380973257344E-2</v>
      </c>
      <c r="N110" s="5">
        <f>13.74</f>
        <v>13.74</v>
      </c>
      <c r="O110" s="9">
        <f t="shared" si="47"/>
        <v>0.15059184568171854</v>
      </c>
      <c r="P110" s="5">
        <f>7.87</f>
        <v>7.87</v>
      </c>
      <c r="Q110" s="9">
        <f t="shared" si="48"/>
        <v>8.6256028057869361E-2</v>
      </c>
      <c r="R110" s="5">
        <f>2.07</f>
        <v>2.0699999999999998</v>
      </c>
      <c r="S110" s="9">
        <f t="shared" si="49"/>
        <v>2.2687417799210872E-2</v>
      </c>
      <c r="T110" s="5">
        <f>1.78</f>
        <v>1.78</v>
      </c>
      <c r="U110" s="9">
        <f t="shared" si="50"/>
        <v>1.9508987286277951E-2</v>
      </c>
      <c r="V110" s="5">
        <f>13.09</f>
        <v>13.09</v>
      </c>
      <c r="W110" s="9">
        <f t="shared" si="51"/>
        <v>0.14346777729066199</v>
      </c>
      <c r="X110" s="5">
        <f>7.63</f>
        <v>7.63</v>
      </c>
      <c r="Y110" s="9">
        <f t="shared" si="52"/>
        <v>8.3625602805786944E-2</v>
      </c>
      <c r="Z110" s="5">
        <f>(((((((((((B110)+(D110))+(F110))+(H110))+(J110))+(L110))+(N110))+(P110))+(R110))+(T110))+(V110))+(X110)</f>
        <v>91.24</v>
      </c>
      <c r="AA110" s="10">
        <f t="shared" si="38"/>
        <v>1</v>
      </c>
    </row>
    <row r="111" spans="1:27">
      <c r="A111" s="3" t="s">
        <v>117</v>
      </c>
      <c r="B111" s="5">
        <f>-180.15</f>
        <v>-180.15</v>
      </c>
      <c r="C111" s="9">
        <f t="shared" si="37"/>
        <v>-7.5347249814925576E-2</v>
      </c>
      <c r="D111" s="5">
        <f>46.53</f>
        <v>46.53</v>
      </c>
      <c r="E111" s="9">
        <f t="shared" si="42"/>
        <v>1.9461046538376284E-2</v>
      </c>
      <c r="F111" s="5">
        <f>802.69</f>
        <v>802.69</v>
      </c>
      <c r="G111" s="9">
        <f t="shared" si="43"/>
        <v>0.33572291953340339</v>
      </c>
      <c r="H111" s="5">
        <f>724.25</f>
        <v>724.25</v>
      </c>
      <c r="I111" s="9">
        <f t="shared" si="44"/>
        <v>0.30291560187876687</v>
      </c>
      <c r="J111" s="5">
        <f>161.97</f>
        <v>161.97</v>
      </c>
      <c r="K111" s="9">
        <f t="shared" si="45"/>
        <v>6.7743514030105451E-2</v>
      </c>
      <c r="L111" s="5">
        <f>-397.98</f>
        <v>-397.98</v>
      </c>
      <c r="M111" s="9">
        <f t="shared" si="46"/>
        <v>-0.16645405762611204</v>
      </c>
      <c r="N111" s="5">
        <f>682.06</f>
        <v>682.06</v>
      </c>
      <c r="O111" s="9">
        <f t="shared" si="47"/>
        <v>0.28526974859155224</v>
      </c>
      <c r="P111" s="5">
        <f>363.64</f>
        <v>363.64</v>
      </c>
      <c r="Q111" s="9">
        <f t="shared" si="48"/>
        <v>0.15209144558811843</v>
      </c>
      <c r="R111" s="5">
        <f>-98.18</f>
        <v>-98.18</v>
      </c>
      <c r="S111" s="9">
        <f t="shared" si="49"/>
        <v>-4.1063519216371878E-2</v>
      </c>
      <c r="T111" s="5">
        <f>669.55</f>
        <v>669.55</v>
      </c>
      <c r="U111" s="9">
        <f t="shared" si="50"/>
        <v>0.28003747495744336</v>
      </c>
      <c r="V111" s="5">
        <f>255.97</f>
        <v>255.97</v>
      </c>
      <c r="W111" s="9">
        <f t="shared" si="51"/>
        <v>0.10705875956217874</v>
      </c>
      <c r="X111" s="5">
        <f>-639.42</f>
        <v>-639.41999999999996</v>
      </c>
      <c r="Y111" s="9">
        <f t="shared" si="52"/>
        <v>-0.26743568402253515</v>
      </c>
      <c r="Z111" s="5">
        <f>(((((((((((B111)+(D111))+(F111))+(H111))+(J111))+(L111))+(N111))+(P111))+(R111))+(T111))+(V111))+(X111)</f>
        <v>2390.9299999999998</v>
      </c>
      <c r="AA111" s="10">
        <f t="shared" si="38"/>
        <v>1.0000000000000002</v>
      </c>
    </row>
    <row r="112" spans="1:27">
      <c r="A112" s="3" t="s">
        <v>118</v>
      </c>
      <c r="B112" s="5">
        <f>3880</f>
        <v>3880</v>
      </c>
      <c r="C112" s="9">
        <f t="shared" si="37"/>
        <v>0.418554476806904</v>
      </c>
      <c r="D112" s="5">
        <f>1635</f>
        <v>1635</v>
      </c>
      <c r="E112" s="9">
        <f t="shared" si="42"/>
        <v>0.17637540453074432</v>
      </c>
      <c r="F112" s="5">
        <f>2350</f>
        <v>2350</v>
      </c>
      <c r="G112" s="9">
        <f t="shared" si="43"/>
        <v>0.25350593311758363</v>
      </c>
      <c r="H112" s="5">
        <f>705</f>
        <v>705</v>
      </c>
      <c r="I112" s="9">
        <f t="shared" si="44"/>
        <v>7.605177993527508E-2</v>
      </c>
      <c r="J112" s="5">
        <f>500</f>
        <v>500</v>
      </c>
      <c r="K112" s="9">
        <f t="shared" si="45"/>
        <v>5.3937432578209279E-2</v>
      </c>
      <c r="L112" s="4"/>
      <c r="M112" s="9">
        <f t="shared" si="46"/>
        <v>0</v>
      </c>
      <c r="N112" s="5">
        <f>200</f>
        <v>200</v>
      </c>
      <c r="O112" s="9">
        <f t="shared" si="47"/>
        <v>2.1574973031283712E-2</v>
      </c>
      <c r="P112" s="4"/>
      <c r="Q112" s="9">
        <f t="shared" si="48"/>
        <v>0</v>
      </c>
      <c r="R112" s="4"/>
      <c r="S112" s="9">
        <f t="shared" si="49"/>
        <v>0</v>
      </c>
      <c r="T112" s="4"/>
      <c r="U112" s="9">
        <f t="shared" si="50"/>
        <v>0</v>
      </c>
      <c r="V112" s="4"/>
      <c r="W112" s="9">
        <f t="shared" si="51"/>
        <v>0</v>
      </c>
      <c r="X112" s="4"/>
      <c r="Y112" s="9">
        <f t="shared" si="52"/>
        <v>0</v>
      </c>
      <c r="Z112" s="5">
        <f>(((((((((((B112)+(D112))+(F112))+(H112))+(J112))+(L112))+(N112))+(P112))+(R112))+(T112))+(V112))+(X112)</f>
        <v>9270</v>
      </c>
      <c r="AA112" s="10">
        <f t="shared" si="38"/>
        <v>1</v>
      </c>
    </row>
    <row r="113" spans="1:27">
      <c r="A113" s="3" t="s">
        <v>119</v>
      </c>
      <c r="B113" s="6">
        <f t="shared" ref="B113:X113" si="61">(((B109)+(B110))+(B111))+(B112)</f>
        <v>3707.39</v>
      </c>
      <c r="C113" s="9">
        <f t="shared" si="37"/>
        <v>0.26012810680759496</v>
      </c>
      <c r="D113" s="6">
        <f t="shared" si="61"/>
        <v>1694.78</v>
      </c>
      <c r="E113" s="9">
        <f t="shared" si="42"/>
        <v>0.11891382154436834</v>
      </c>
      <c r="F113" s="6">
        <f t="shared" si="61"/>
        <v>3154.32</v>
      </c>
      <c r="G113" s="9">
        <f t="shared" si="43"/>
        <v>0.22132208639105488</v>
      </c>
      <c r="H113" s="6">
        <f t="shared" si="61"/>
        <v>3936.68</v>
      </c>
      <c r="I113" s="9">
        <f t="shared" si="44"/>
        <v>0.2762161832198185</v>
      </c>
      <c r="J113" s="6">
        <f t="shared" si="61"/>
        <v>675.46</v>
      </c>
      <c r="K113" s="9">
        <f t="shared" si="45"/>
        <v>4.7393484641286211E-2</v>
      </c>
      <c r="L113" s="6">
        <f t="shared" si="61"/>
        <v>-396.26</v>
      </c>
      <c r="M113" s="9">
        <f t="shared" si="46"/>
        <v>-2.7803485363983173E-2</v>
      </c>
      <c r="N113" s="6">
        <f t="shared" si="61"/>
        <v>895.8</v>
      </c>
      <c r="O113" s="9">
        <f t="shared" si="47"/>
        <v>6.2853586506475864E-2</v>
      </c>
      <c r="P113" s="6">
        <f t="shared" si="61"/>
        <v>371.51</v>
      </c>
      <c r="Q113" s="9">
        <f t="shared" si="48"/>
        <v>2.6066907705984424E-2</v>
      </c>
      <c r="R113" s="6">
        <f t="shared" si="61"/>
        <v>-96.110000000000014</v>
      </c>
      <c r="S113" s="9">
        <f t="shared" si="49"/>
        <v>-6.7435344933438222E-3</v>
      </c>
      <c r="T113" s="6">
        <f t="shared" si="61"/>
        <v>671.32999999999993</v>
      </c>
      <c r="U113" s="9">
        <f t="shared" si="50"/>
        <v>4.7103704207850455E-2</v>
      </c>
      <c r="V113" s="6">
        <f t="shared" si="61"/>
        <v>269.06</v>
      </c>
      <c r="W113" s="9">
        <f t="shared" si="51"/>
        <v>1.8878528673177492E-2</v>
      </c>
      <c r="X113" s="6">
        <f t="shared" si="61"/>
        <v>-631.79</v>
      </c>
      <c r="Y113" s="9">
        <f t="shared" si="52"/>
        <v>-4.4329389840283971E-2</v>
      </c>
      <c r="Z113" s="6">
        <f>(((((((((((B113)+(D113))+(F113))+(H113))+(J113))+(L113))+(N113))+(P113))+(R113))+(T113))+(V113))+(X113)</f>
        <v>14252.169999999998</v>
      </c>
      <c r="AA113" s="10">
        <f t="shared" si="38"/>
        <v>1.0000000000000002</v>
      </c>
    </row>
    <row r="114" spans="1:27">
      <c r="A114" s="3" t="s">
        <v>120</v>
      </c>
      <c r="B114" s="4"/>
      <c r="C114" s="9" t="e">
        <f t="shared" si="37"/>
        <v>#DIV/0!</v>
      </c>
      <c r="D114" s="4"/>
      <c r="E114" s="9" t="e">
        <f t="shared" si="42"/>
        <v>#DIV/0!</v>
      </c>
      <c r="F114" s="4"/>
      <c r="G114" s="9" t="e">
        <f t="shared" si="43"/>
        <v>#DIV/0!</v>
      </c>
      <c r="H114" s="4"/>
      <c r="I114" s="9" t="e">
        <f t="shared" si="44"/>
        <v>#DIV/0!</v>
      </c>
      <c r="J114" s="4"/>
      <c r="K114" s="9" t="e">
        <f t="shared" si="45"/>
        <v>#DIV/0!</v>
      </c>
      <c r="L114" s="4"/>
      <c r="M114" s="9" t="e">
        <f t="shared" si="46"/>
        <v>#DIV/0!</v>
      </c>
      <c r="N114" s="4"/>
      <c r="O114" s="9" t="e">
        <f t="shared" si="47"/>
        <v>#DIV/0!</v>
      </c>
      <c r="P114" s="4"/>
      <c r="Q114" s="9" t="e">
        <f t="shared" si="48"/>
        <v>#DIV/0!</v>
      </c>
      <c r="R114" s="4"/>
      <c r="S114" s="9" t="e">
        <f t="shared" si="49"/>
        <v>#DIV/0!</v>
      </c>
      <c r="T114" s="4"/>
      <c r="U114" s="9" t="e">
        <f t="shared" si="50"/>
        <v>#DIV/0!</v>
      </c>
      <c r="V114" s="4"/>
      <c r="W114" s="9" t="e">
        <f t="shared" si="51"/>
        <v>#DIV/0!</v>
      </c>
      <c r="X114" s="4"/>
      <c r="Y114" s="9" t="e">
        <f t="shared" si="52"/>
        <v>#DIV/0!</v>
      </c>
      <c r="Z114" s="4"/>
      <c r="AA114" s="10" t="e">
        <f t="shared" si="38"/>
        <v>#DIV/0!</v>
      </c>
    </row>
    <row r="115" spans="1:27">
      <c r="A115" s="3" t="s">
        <v>121</v>
      </c>
      <c r="B115" s="5">
        <f>366.15</f>
        <v>366.15</v>
      </c>
      <c r="C115" s="9">
        <f t="shared" si="37"/>
        <v>4.6816563205237215E-2</v>
      </c>
      <c r="D115" s="5">
        <f>4088</f>
        <v>4088</v>
      </c>
      <c r="E115" s="9">
        <f t="shared" si="42"/>
        <v>0.52269864914108899</v>
      </c>
      <c r="F115" s="4"/>
      <c r="G115" s="9">
        <f t="shared" si="43"/>
        <v>0</v>
      </c>
      <c r="H115" s="4"/>
      <c r="I115" s="9">
        <f t="shared" si="44"/>
        <v>0</v>
      </c>
      <c r="J115" s="4"/>
      <c r="K115" s="9">
        <f t="shared" si="45"/>
        <v>0</v>
      </c>
      <c r="L115" s="4"/>
      <c r="M115" s="9">
        <f t="shared" si="46"/>
        <v>0</v>
      </c>
      <c r="N115" s="4"/>
      <c r="O115" s="9">
        <f t="shared" si="47"/>
        <v>0</v>
      </c>
      <c r="P115" s="5">
        <f>3366.8</f>
        <v>3366.8</v>
      </c>
      <c r="Q115" s="9">
        <f t="shared" si="48"/>
        <v>0.43048478765367382</v>
      </c>
      <c r="R115" s="4"/>
      <c r="S115" s="9">
        <f t="shared" si="49"/>
        <v>0</v>
      </c>
      <c r="T115" s="4"/>
      <c r="U115" s="9">
        <f t="shared" si="50"/>
        <v>0</v>
      </c>
      <c r="V115" s="4"/>
      <c r="W115" s="9">
        <f t="shared" si="51"/>
        <v>0</v>
      </c>
      <c r="X115" s="4"/>
      <c r="Y115" s="9">
        <f t="shared" si="52"/>
        <v>0</v>
      </c>
      <c r="Z115" s="5">
        <f>(((((((((((B115)+(D115))+(F115))+(H115))+(J115))+(L115))+(N115))+(P115))+(R115))+(T115))+(V115))+(X115)</f>
        <v>7820.95</v>
      </c>
      <c r="AA115" s="10">
        <f t="shared" si="38"/>
        <v>1</v>
      </c>
    </row>
    <row r="116" spans="1:27">
      <c r="A116" s="3" t="s">
        <v>122</v>
      </c>
      <c r="B116" s="6">
        <f t="shared" ref="B116:X116" si="62">B115</f>
        <v>366.15</v>
      </c>
      <c r="C116" s="9">
        <f t="shared" si="37"/>
        <v>4.6816563205237215E-2</v>
      </c>
      <c r="D116" s="6">
        <f t="shared" si="62"/>
        <v>4088</v>
      </c>
      <c r="E116" s="9">
        <f t="shared" si="42"/>
        <v>0.52269864914108899</v>
      </c>
      <c r="F116" s="6">
        <f t="shared" si="62"/>
        <v>0</v>
      </c>
      <c r="G116" s="9">
        <f t="shared" si="43"/>
        <v>0</v>
      </c>
      <c r="H116" s="6">
        <f t="shared" si="62"/>
        <v>0</v>
      </c>
      <c r="I116" s="9">
        <f t="shared" si="44"/>
        <v>0</v>
      </c>
      <c r="J116" s="6">
        <f t="shared" si="62"/>
        <v>0</v>
      </c>
      <c r="K116" s="9">
        <f t="shared" si="45"/>
        <v>0</v>
      </c>
      <c r="L116" s="6">
        <f t="shared" si="62"/>
        <v>0</v>
      </c>
      <c r="M116" s="9">
        <f t="shared" si="46"/>
        <v>0</v>
      </c>
      <c r="N116" s="6">
        <f t="shared" si="62"/>
        <v>0</v>
      </c>
      <c r="O116" s="9">
        <f t="shared" si="47"/>
        <v>0</v>
      </c>
      <c r="P116" s="6">
        <f t="shared" si="62"/>
        <v>3366.8</v>
      </c>
      <c r="Q116" s="9">
        <f t="shared" si="48"/>
        <v>0.43048478765367382</v>
      </c>
      <c r="R116" s="6">
        <f t="shared" si="62"/>
        <v>0</v>
      </c>
      <c r="S116" s="9">
        <f t="shared" si="49"/>
        <v>0</v>
      </c>
      <c r="T116" s="6">
        <f t="shared" si="62"/>
        <v>0</v>
      </c>
      <c r="U116" s="9">
        <f t="shared" si="50"/>
        <v>0</v>
      </c>
      <c r="V116" s="6">
        <f t="shared" si="62"/>
        <v>0</v>
      </c>
      <c r="W116" s="9">
        <f t="shared" si="51"/>
        <v>0</v>
      </c>
      <c r="X116" s="6">
        <f t="shared" si="62"/>
        <v>0</v>
      </c>
      <c r="Y116" s="9">
        <f t="shared" si="52"/>
        <v>0</v>
      </c>
      <c r="Z116" s="6">
        <f>(((((((((((B116)+(D116))+(F116))+(H116))+(J116))+(L116))+(N116))+(P116))+(R116))+(T116))+(V116))+(X116)</f>
        <v>7820.95</v>
      </c>
      <c r="AA116" s="10">
        <f t="shared" si="38"/>
        <v>1</v>
      </c>
    </row>
    <row r="117" spans="1:27">
      <c r="A117" s="3" t="s">
        <v>123</v>
      </c>
      <c r="B117" s="6">
        <f t="shared" ref="B117:X117" si="63">(B113)-(B116)</f>
        <v>3341.24</v>
      </c>
      <c r="C117" s="9">
        <f t="shared" si="37"/>
        <v>0.51953439627317988</v>
      </c>
      <c r="D117" s="6">
        <f t="shared" si="63"/>
        <v>-2393.2200000000003</v>
      </c>
      <c r="E117" s="9">
        <f t="shared" si="42"/>
        <v>-0.37212535102204564</v>
      </c>
      <c r="F117" s="6">
        <f t="shared" si="63"/>
        <v>3154.32</v>
      </c>
      <c r="G117" s="9">
        <f t="shared" si="43"/>
        <v>0.49046992639032727</v>
      </c>
      <c r="H117" s="6">
        <f t="shared" si="63"/>
        <v>3936.68</v>
      </c>
      <c r="I117" s="9">
        <f t="shared" si="44"/>
        <v>0.61212025090107325</v>
      </c>
      <c r="J117" s="6">
        <f t="shared" si="63"/>
        <v>675.46</v>
      </c>
      <c r="K117" s="9">
        <f t="shared" si="45"/>
        <v>0.1050282839025877</v>
      </c>
      <c r="L117" s="6">
        <f t="shared" si="63"/>
        <v>-396.26</v>
      </c>
      <c r="M117" s="9">
        <f t="shared" si="46"/>
        <v>-6.1615059040119921E-2</v>
      </c>
      <c r="N117" s="6">
        <f t="shared" si="63"/>
        <v>895.8</v>
      </c>
      <c r="O117" s="9">
        <f t="shared" si="47"/>
        <v>0.13928927948351946</v>
      </c>
      <c r="P117" s="6">
        <f t="shared" si="63"/>
        <v>-2995.29</v>
      </c>
      <c r="Q117" s="9">
        <f t="shared" si="48"/>
        <v>-0.46574211424892947</v>
      </c>
      <c r="R117" s="6">
        <f t="shared" si="63"/>
        <v>-96.110000000000014</v>
      </c>
      <c r="S117" s="9">
        <f t="shared" si="49"/>
        <v>-1.4944287398036457E-2</v>
      </c>
      <c r="T117" s="6">
        <f t="shared" si="63"/>
        <v>671.32999999999993</v>
      </c>
      <c r="U117" s="9">
        <f t="shared" si="50"/>
        <v>0.10438610403624818</v>
      </c>
      <c r="V117" s="6">
        <f t="shared" si="63"/>
        <v>269.06</v>
      </c>
      <c r="W117" s="9">
        <f t="shared" si="51"/>
        <v>4.1836541122835177E-2</v>
      </c>
      <c r="X117" s="6">
        <f t="shared" si="63"/>
        <v>-631.79</v>
      </c>
      <c r="Y117" s="9">
        <f t="shared" si="52"/>
        <v>-9.8237970400639391E-2</v>
      </c>
      <c r="Z117" s="6">
        <f>(((((((((((B117)+(D117))+(F117))+(H117))+(J117))+(L117))+(N117))+(P117))+(R117))+(T117))+(V117))+(X117)</f>
        <v>6431.2199999999993</v>
      </c>
      <c r="AA117" s="10">
        <f t="shared" si="38"/>
        <v>1.0000000000000002</v>
      </c>
    </row>
    <row r="118" spans="1:27">
      <c r="A118" s="3" t="s">
        <v>124</v>
      </c>
      <c r="B118" s="7">
        <f t="shared" ref="B118:X118" si="64">(B107)+(B117)</f>
        <v>4823.5099999999966</v>
      </c>
      <c r="C118" s="9">
        <f t="shared" si="37"/>
        <v>-0.62637618074294843</v>
      </c>
      <c r="D118" s="7">
        <f t="shared" si="64"/>
        <v>1859.3999999999987</v>
      </c>
      <c r="E118" s="9">
        <f t="shared" si="42"/>
        <v>-0.24145982292426849</v>
      </c>
      <c r="F118" s="7">
        <f t="shared" si="64"/>
        <v>7426.9500000000007</v>
      </c>
      <c r="G118" s="9">
        <f t="shared" si="43"/>
        <v>-0.96445629335667271</v>
      </c>
      <c r="H118" s="7">
        <f t="shared" si="64"/>
        <v>-16279.66</v>
      </c>
      <c r="I118" s="9">
        <f t="shared" si="44"/>
        <v>2.1140603532684197</v>
      </c>
      <c r="J118" s="7">
        <f t="shared" si="64"/>
        <v>12466.369999999999</v>
      </c>
      <c r="K118" s="9">
        <f t="shared" si="45"/>
        <v>-1.6188703305950387</v>
      </c>
      <c r="L118" s="7">
        <f t="shared" si="64"/>
        <v>1875.6299999999994</v>
      </c>
      <c r="M118" s="9">
        <f t="shared" si="46"/>
        <v>-0.24356743447964177</v>
      </c>
      <c r="N118" s="7">
        <f t="shared" si="64"/>
        <v>9968.369999999999</v>
      </c>
      <c r="O118" s="9">
        <f t="shared" si="47"/>
        <v>-1.29448255084629</v>
      </c>
      <c r="P118" s="7">
        <f t="shared" si="64"/>
        <v>-2296.8499999999995</v>
      </c>
      <c r="Q118" s="9">
        <f t="shared" si="48"/>
        <v>0.29826664208002923</v>
      </c>
      <c r="R118" s="7">
        <f t="shared" si="64"/>
        <v>-7773.8300000000008</v>
      </c>
      <c r="S118" s="9">
        <f t="shared" si="49"/>
        <v>1.0095017829640571</v>
      </c>
      <c r="T118" s="7">
        <f t="shared" si="64"/>
        <v>-5839.6100000000006</v>
      </c>
      <c r="U118" s="9">
        <f t="shared" si="50"/>
        <v>0.7583259097272177</v>
      </c>
      <c r="V118" s="7">
        <f t="shared" si="64"/>
        <v>9546.5400000000027</v>
      </c>
      <c r="W118" s="9">
        <f t="shared" si="51"/>
        <v>-1.2397041292564528</v>
      </c>
      <c r="X118" s="7">
        <f t="shared" si="64"/>
        <v>-23477.48</v>
      </c>
      <c r="Y118" s="9">
        <f t="shared" si="52"/>
        <v>3.048762054161589</v>
      </c>
      <c r="Z118" s="7">
        <f>(((((((((((B118)+(D118))+(F118))+(H118))+(J118))+(L118))+(N118))+(P118))+(R118))+(T118))+(V118))+(X118)</f>
        <v>-7700.6600000000053</v>
      </c>
      <c r="AA118" s="10">
        <f t="shared" si="38"/>
        <v>1</v>
      </c>
    </row>
    <row r="119" spans="1:27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2" spans="1:27">
      <c r="A122" s="11" t="s">
        <v>125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</sheetData>
  <mergeCells count="4">
    <mergeCell ref="A1:Z1"/>
    <mergeCell ref="A2:Z2"/>
    <mergeCell ref="A3:Z3"/>
    <mergeCell ref="A122:Z1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D0C7-46C1-49FD-9356-079B161A87C0}">
  <dimension ref="A1:AF127"/>
  <sheetViews>
    <sheetView zoomScale="115" zoomScaleNormal="115" workbookViewId="0">
      <pane xSplit="1" ySplit="5" topLeftCell="B6" activePane="bottomRight" state="frozen"/>
      <selection activeCell="C15" sqref="C15"/>
      <selection pane="topRight" activeCell="C15" sqref="C15"/>
      <selection pane="bottomLeft" activeCell="C15" sqref="C15"/>
      <selection pane="bottomRight" activeCell="H34" sqref="H34"/>
    </sheetView>
  </sheetViews>
  <sheetFormatPr defaultRowHeight="13.8"/>
  <cols>
    <col min="1" max="1" width="36.59765625" customWidth="1"/>
    <col min="2" max="2" width="11.19921875" customWidth="1"/>
    <col min="3" max="3" width="9.5" hidden="1" customWidth="1"/>
    <col min="4" max="4" width="11.19921875" customWidth="1"/>
    <col min="5" max="5" width="10.296875" hidden="1" customWidth="1"/>
    <col min="6" max="6" width="11.19921875" customWidth="1"/>
    <col min="7" max="7" width="9.5" hidden="1" customWidth="1"/>
    <col min="8" max="8" width="11.19921875" customWidth="1"/>
    <col min="9" max="9" width="11.19921875" hidden="1" customWidth="1"/>
    <col min="10" max="10" width="11.19921875" customWidth="1"/>
    <col min="11" max="11" width="9.5" hidden="1" customWidth="1"/>
    <col min="12" max="12" width="11.19921875" customWidth="1"/>
    <col min="13" max="13" width="9.5" hidden="1" customWidth="1"/>
    <col min="14" max="14" width="11.19921875" customWidth="1"/>
    <col min="15" max="15" width="9.5" hidden="1" customWidth="1"/>
    <col min="16" max="16" width="11.19921875" customWidth="1"/>
    <col min="17" max="17" width="10.296875" hidden="1" customWidth="1"/>
    <col min="18" max="18" width="11.19921875" customWidth="1"/>
    <col min="19" max="19" width="10.296875" hidden="1" customWidth="1"/>
    <col min="20" max="20" width="11.19921875" customWidth="1"/>
    <col min="21" max="21" width="10.296875" hidden="1" customWidth="1"/>
    <col min="22" max="22" width="11.19921875" customWidth="1"/>
    <col min="23" max="23" width="9.5" hidden="1" customWidth="1"/>
    <col min="24" max="24" width="11.19921875" customWidth="1"/>
    <col min="25" max="25" width="11.19921875" hidden="1" customWidth="1"/>
    <col min="26" max="27" width="11.19921875" customWidth="1"/>
  </cols>
  <sheetData>
    <row r="1" spans="1:32" ht="17.399999999999999">
      <c r="A1" s="17" t="s">
        <v>126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17.399999999999999">
      <c r="A2" s="17" t="s">
        <v>127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>
      <c r="A3" s="15" t="s">
        <v>128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5" spans="1:32">
      <c r="A5" s="1"/>
      <c r="B5" s="8">
        <v>45658</v>
      </c>
      <c r="C5" s="2" t="s">
        <v>0</v>
      </c>
      <c r="D5" s="8">
        <v>45689</v>
      </c>
      <c r="E5" s="2" t="s">
        <v>1</v>
      </c>
      <c r="F5" s="8">
        <v>45717</v>
      </c>
      <c r="G5" s="8">
        <v>45352</v>
      </c>
      <c r="H5" s="8">
        <v>45748</v>
      </c>
      <c r="I5" s="2" t="s">
        <v>2</v>
      </c>
      <c r="J5" s="8">
        <v>45778</v>
      </c>
      <c r="K5" s="2" t="s">
        <v>3</v>
      </c>
      <c r="L5" s="8">
        <v>45809</v>
      </c>
      <c r="M5" s="2" t="s">
        <v>4</v>
      </c>
      <c r="N5" s="8">
        <v>45839</v>
      </c>
      <c r="O5" s="2" t="s">
        <v>5</v>
      </c>
      <c r="P5" s="8">
        <v>45870</v>
      </c>
      <c r="Q5" s="2" t="s">
        <v>6</v>
      </c>
      <c r="R5" s="8">
        <v>45901</v>
      </c>
      <c r="S5" s="2" t="s">
        <v>7</v>
      </c>
      <c r="T5" s="8">
        <v>45931</v>
      </c>
      <c r="U5" s="2" t="s">
        <v>8</v>
      </c>
      <c r="V5" s="8">
        <v>45962</v>
      </c>
      <c r="W5" s="2" t="s">
        <v>9</v>
      </c>
      <c r="X5" s="8">
        <v>45992</v>
      </c>
      <c r="Y5" s="2" t="s">
        <v>10</v>
      </c>
      <c r="Z5" s="2" t="s">
        <v>11</v>
      </c>
      <c r="AA5" s="2"/>
    </row>
    <row r="6" spans="1:32">
      <c r="A6" s="3" t="s">
        <v>12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2">
      <c r="A7" s="3" t="s">
        <v>13</v>
      </c>
      <c r="B7" s="5"/>
      <c r="C7" s="9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5"/>
      <c r="Q7" s="4"/>
      <c r="R7" s="5"/>
      <c r="S7" s="4"/>
      <c r="T7" s="5"/>
      <c r="U7" s="4"/>
      <c r="V7" s="5"/>
      <c r="W7" s="4"/>
      <c r="X7" s="5"/>
      <c r="Y7" s="4"/>
      <c r="Z7" s="5"/>
      <c r="AA7" s="5"/>
    </row>
    <row r="8" spans="1:32">
      <c r="A8" s="3" t="s">
        <v>14</v>
      </c>
      <c r="B8" s="5">
        <f>C8*$Z8</f>
        <v>122.67281105990784</v>
      </c>
      <c r="C8" s="9">
        <v>2.5345622119815669E-2</v>
      </c>
      <c r="D8" s="5">
        <f>E8*$Z8</f>
        <v>245.34562211981569</v>
      </c>
      <c r="E8" s="9">
        <v>5.0691244239631339E-2</v>
      </c>
      <c r="F8" s="5">
        <f>G8*$Z8</f>
        <v>429.35483870967744</v>
      </c>
      <c r="G8" s="9">
        <v>8.8709677419354843E-2</v>
      </c>
      <c r="H8" s="5">
        <f t="shared" ref="H8:H71" si="0">I8*$Z8</f>
        <v>674.70046082949307</v>
      </c>
      <c r="I8" s="9">
        <v>0.13940092165898618</v>
      </c>
      <c r="J8" s="5">
        <f>K8*$Z8</f>
        <v>607.78801843317979</v>
      </c>
      <c r="K8" s="9">
        <v>0.12557603686635946</v>
      </c>
      <c r="L8" s="5">
        <f>M8*$Z8</f>
        <v>552.02764976958531</v>
      </c>
      <c r="M8" s="9">
        <v>0.11405529953917051</v>
      </c>
      <c r="N8" s="5">
        <f>O8*$Z8</f>
        <v>674.70046082949307</v>
      </c>
      <c r="O8" s="9">
        <v>0.13940092165898618</v>
      </c>
      <c r="P8" s="5">
        <f>Q8*$Z8</f>
        <v>245.34562211981569</v>
      </c>
      <c r="Q8" s="9">
        <v>5.0691244239631339E-2</v>
      </c>
      <c r="R8" s="5">
        <f>S8*$Z8</f>
        <v>245.34562211981569</v>
      </c>
      <c r="S8" s="9">
        <v>5.0691244239631339E-2</v>
      </c>
      <c r="T8" s="5">
        <f>U8*$Z8</f>
        <v>429.35483870967744</v>
      </c>
      <c r="U8" s="9">
        <v>8.8709677419354843E-2</v>
      </c>
      <c r="V8" s="5">
        <f>W8*$Z8</f>
        <v>61.336405529953922</v>
      </c>
      <c r="W8" s="9">
        <v>1.2672811059907835E-2</v>
      </c>
      <c r="X8" s="5">
        <f>Y8*$Z8</f>
        <v>552.02764976958531</v>
      </c>
      <c r="Y8" s="9">
        <v>0.11405529953917051</v>
      </c>
      <c r="Z8" s="5">
        <v>4840</v>
      </c>
      <c r="AA8" s="5">
        <f>B8+D8+F8+H8+J8+L8+N8+P8+R8+T8+V8+X8</f>
        <v>4839.9999999999991</v>
      </c>
      <c r="AB8" s="10">
        <f>C8+E8+G8+I8+K8+M8+O8+Q8+S8+U8+W8+Y8</f>
        <v>1</v>
      </c>
    </row>
    <row r="9" spans="1:32">
      <c r="A9" s="3" t="s">
        <v>15</v>
      </c>
      <c r="B9" s="5">
        <f t="shared" ref="B9:B72" si="1">C9*$Z9</f>
        <v>6270.2645404246214</v>
      </c>
      <c r="C9" s="9">
        <v>7.5559368074916006E-2</v>
      </c>
      <c r="D9" s="5">
        <f t="shared" ref="D9:D72" si="2">E9*$Z9</f>
        <v>5125.3628788333708</v>
      </c>
      <c r="E9" s="9">
        <v>6.1762813639288011E-2</v>
      </c>
      <c r="F9" s="5">
        <f t="shared" ref="F9:F72" si="3">G9*$Z9</f>
        <v>6015.1828230752744</v>
      </c>
      <c r="G9" s="9">
        <v>7.248552434055329E-2</v>
      </c>
      <c r="H9" s="5">
        <f t="shared" si="0"/>
        <v>6639.4049960813381</v>
      </c>
      <c r="I9" s="9">
        <v>8.000766836280454E-2</v>
      </c>
      <c r="J9" s="5">
        <f t="shared" ref="J9:J72" si="4">K9*$Z9</f>
        <v>9912.5941788548171</v>
      </c>
      <c r="K9" s="9">
        <v>0.11945099721209522</v>
      </c>
      <c r="L9" s="5">
        <f t="shared" ref="L9:L72" si="5">M9*$Z9</f>
        <v>4866.50616778118</v>
      </c>
      <c r="M9" s="9">
        <v>5.864347961710175E-2</v>
      </c>
      <c r="N9" s="5">
        <f t="shared" ref="N9:N72" si="6">O9*$Z9</f>
        <v>9562.5983341196679</v>
      </c>
      <c r="O9" s="9">
        <v>0.11523339766959755</v>
      </c>
      <c r="P9" s="5">
        <f t="shared" ref="P9:P72" si="7">Q9*$Z9</f>
        <v>5786.7957040531865</v>
      </c>
      <c r="Q9" s="9">
        <v>6.9733361927228538E-2</v>
      </c>
      <c r="R9" s="5">
        <f t="shared" ref="R9:R72" si="8">S9*$Z9</f>
        <v>3405.0443199656884</v>
      </c>
      <c r="S9" s="9">
        <v>4.1032239616841805E-2</v>
      </c>
      <c r="T9" s="5">
        <f t="shared" ref="T9:T72" si="9">U9*$Z9</f>
        <v>6311.7894711559093</v>
      </c>
      <c r="U9" s="9">
        <v>7.6059761240975049E-2</v>
      </c>
      <c r="V9" s="5">
        <f t="shared" ref="V9:V72" si="10">W9*$Z9</f>
        <v>11347.631070750396</v>
      </c>
      <c r="W9" s="9">
        <v>0.1367438051975903</v>
      </c>
      <c r="X9" s="5">
        <f t="shared" ref="X9:X72" si="11">Y9*$Z9</f>
        <v>7741.4335149045701</v>
      </c>
      <c r="Y9" s="9">
        <v>9.3287583101007931E-2</v>
      </c>
      <c r="Z9" s="5">
        <v>82984.608000000022</v>
      </c>
      <c r="AA9" s="5">
        <f t="shared" ref="AA9:AA72" si="12">B9+D9+F9+H9+J9+L9+N9+P9+R9+T9+V9+X9</f>
        <v>82984.608000000022</v>
      </c>
      <c r="AB9" s="10">
        <f>C9+E9+G9+I9+K9+M9+O9+Q9+S9+U9+W9+Y9</f>
        <v>1</v>
      </c>
    </row>
    <row r="10" spans="1:32">
      <c r="A10" s="3" t="s">
        <v>16</v>
      </c>
      <c r="B10" s="5">
        <f t="shared" si="1"/>
        <v>914.79867224707755</v>
      </c>
      <c r="C10" s="9">
        <v>2.8286910088035792E-2</v>
      </c>
      <c r="D10" s="5">
        <f t="shared" si="2"/>
        <v>2387.3444941550006</v>
      </c>
      <c r="E10" s="9">
        <v>7.3820176071583199E-2</v>
      </c>
      <c r="F10" s="5">
        <f t="shared" si="3"/>
        <v>2329.5861596189925</v>
      </c>
      <c r="G10" s="9">
        <v>7.2034204069851351E-2</v>
      </c>
      <c r="H10" s="5">
        <f t="shared" si="0"/>
        <v>3889.0611920912111</v>
      </c>
      <c r="I10" s="9">
        <v>0.12025544811661135</v>
      </c>
      <c r="J10" s="5">
        <f t="shared" si="4"/>
        <v>3707.6183431952663</v>
      </c>
      <c r="K10" s="9">
        <v>0.11464497041420119</v>
      </c>
      <c r="L10" s="5">
        <f t="shared" si="5"/>
        <v>4158.6000865925826</v>
      </c>
      <c r="M10" s="9">
        <v>0.12858998412469333</v>
      </c>
      <c r="N10" s="5">
        <f t="shared" si="6"/>
        <v>3632.3574830422858</v>
      </c>
      <c r="O10" s="9">
        <v>0.11231779477558089</v>
      </c>
      <c r="P10" s="5">
        <f t="shared" si="7"/>
        <v>1257.8481743397315</v>
      </c>
      <c r="Q10" s="9">
        <v>3.889450137104921E-2</v>
      </c>
      <c r="R10" s="5">
        <f t="shared" si="8"/>
        <v>1052.4852071005917</v>
      </c>
      <c r="S10" s="9">
        <v>3.2544378698224852E-2</v>
      </c>
      <c r="T10" s="5">
        <f t="shared" si="9"/>
        <v>3606.6871121373938</v>
      </c>
      <c r="U10" s="9">
        <v>0.11152402944147785</v>
      </c>
      <c r="V10" s="5">
        <f t="shared" si="10"/>
        <v>314.46204358493287</v>
      </c>
      <c r="W10" s="9">
        <v>9.7236253427623025E-3</v>
      </c>
      <c r="X10" s="5">
        <f t="shared" si="11"/>
        <v>5089.151031894934</v>
      </c>
      <c r="Y10" s="9">
        <v>0.1573639774859287</v>
      </c>
      <c r="Z10" s="5">
        <v>32340</v>
      </c>
      <c r="AA10" s="5">
        <f t="shared" si="12"/>
        <v>32340.000000000004</v>
      </c>
      <c r="AB10" s="10">
        <f>C10+E10+G10+I10+K10+M10+O10+Q10+S10+U10+W10+Y10</f>
        <v>1</v>
      </c>
    </row>
    <row r="11" spans="1:32">
      <c r="A11" s="3" t="s">
        <v>17</v>
      </c>
      <c r="B11" s="6">
        <f t="shared" si="1"/>
        <v>7394.8383938786474</v>
      </c>
      <c r="C11" s="9">
        <v>6.1539237858443695E-2</v>
      </c>
      <c r="D11" s="6">
        <f t="shared" si="2"/>
        <v>7737.1562949296076</v>
      </c>
      <c r="E11" s="9">
        <v>6.438797932024716E-2</v>
      </c>
      <c r="F11" s="6">
        <f t="shared" si="3"/>
        <v>8774.0322560839686</v>
      </c>
      <c r="G11" s="9">
        <v>7.3016775921941737E-2</v>
      </c>
      <c r="H11" s="6">
        <f t="shared" si="0"/>
        <v>11128.087966934416</v>
      </c>
      <c r="I11" s="9">
        <v>9.2607034235358335E-2</v>
      </c>
      <c r="J11" s="6">
        <f t="shared" si="4"/>
        <v>14236.235285897126</v>
      </c>
      <c r="K11" s="9">
        <v>0.118472780986371</v>
      </c>
      <c r="L11" s="6">
        <f t="shared" si="5"/>
        <v>9449.2970367400503</v>
      </c>
      <c r="M11" s="9">
        <v>7.8636273974613632E-2</v>
      </c>
      <c r="N11" s="6">
        <f t="shared" si="6"/>
        <v>13873.521632287575</v>
      </c>
      <c r="O11" s="9">
        <v>0.11545430774665009</v>
      </c>
      <c r="P11" s="6">
        <f t="shared" si="7"/>
        <v>7346.0539587047188</v>
      </c>
      <c r="Q11" s="9">
        <v>6.1133257795046587E-2</v>
      </c>
      <c r="R11" s="6">
        <f t="shared" si="8"/>
        <v>4717.4824431467368</v>
      </c>
      <c r="S11" s="9">
        <v>3.9258501497768258E-2</v>
      </c>
      <c r="T11" s="6">
        <f t="shared" si="9"/>
        <v>10283.869181975404</v>
      </c>
      <c r="U11" s="9">
        <v>8.5581514833181188E-2</v>
      </c>
      <c r="V11" s="6">
        <f t="shared" si="10"/>
        <v>11956.872128335575</v>
      </c>
      <c r="W11" s="9">
        <v>9.950410796776013E-2</v>
      </c>
      <c r="X11" s="6">
        <f t="shared" si="11"/>
        <v>13267.161421086194</v>
      </c>
      <c r="Y11" s="9">
        <v>0.11040822786261818</v>
      </c>
      <c r="Z11" s="6">
        <f>SUM(Z8:Z10)</f>
        <v>120164.60800000002</v>
      </c>
      <c r="AA11" s="6">
        <f t="shared" si="12"/>
        <v>120164.60800000002</v>
      </c>
      <c r="AB11" s="10">
        <f>C11+E11+G11+I11+K11+M11+O11+Q11+S11+U11+W11+Y11</f>
        <v>1</v>
      </c>
    </row>
    <row r="12" spans="1:32">
      <c r="A12" s="3" t="s">
        <v>18</v>
      </c>
      <c r="B12" s="5"/>
      <c r="C12" s="9"/>
      <c r="D12" s="5"/>
      <c r="E12" s="9"/>
      <c r="F12" s="5"/>
      <c r="G12" s="9"/>
      <c r="H12" s="5"/>
      <c r="I12" s="9"/>
      <c r="J12" s="5"/>
      <c r="K12" s="9"/>
      <c r="L12" s="5"/>
      <c r="M12" s="9"/>
      <c r="N12" s="5"/>
      <c r="O12" s="9"/>
      <c r="P12" s="5"/>
      <c r="Q12" s="9"/>
      <c r="R12" s="5"/>
      <c r="S12" s="9"/>
      <c r="T12" s="5"/>
      <c r="U12" s="9"/>
      <c r="V12" s="5"/>
      <c r="W12" s="9"/>
      <c r="X12" s="5"/>
      <c r="Y12" s="9"/>
      <c r="Z12" s="5"/>
      <c r="AA12" s="5"/>
      <c r="AB12" s="10"/>
    </row>
    <row r="13" spans="1:32">
      <c r="A13" s="3" t="s">
        <v>19</v>
      </c>
      <c r="B13" s="5"/>
      <c r="C13" s="9"/>
      <c r="D13" s="5"/>
      <c r="E13" s="9"/>
      <c r="F13" s="5"/>
      <c r="G13" s="9"/>
      <c r="H13" s="5"/>
      <c r="I13" s="9"/>
      <c r="J13" s="5"/>
      <c r="K13" s="9"/>
      <c r="L13" s="5"/>
      <c r="M13" s="9"/>
      <c r="N13" s="5"/>
      <c r="O13" s="9"/>
      <c r="P13" s="5"/>
      <c r="Q13" s="9"/>
      <c r="R13" s="5"/>
      <c r="S13" s="9"/>
      <c r="T13" s="5"/>
      <c r="U13" s="9"/>
      <c r="V13" s="5"/>
      <c r="W13" s="9"/>
      <c r="X13" s="5"/>
      <c r="Y13" s="9"/>
      <c r="Z13" s="5"/>
      <c r="AA13" s="5"/>
      <c r="AB13" s="10"/>
    </row>
    <row r="14" spans="1:32">
      <c r="A14" s="3" t="s">
        <v>20</v>
      </c>
      <c r="B14" s="5">
        <f t="shared" si="1"/>
        <v>2964.0718562874254</v>
      </c>
      <c r="C14" s="9">
        <v>0.19760479041916168</v>
      </c>
      <c r="D14" s="5">
        <f t="shared" si="2"/>
        <v>1347.3053892215569</v>
      </c>
      <c r="E14" s="9">
        <v>8.9820359281437126E-2</v>
      </c>
      <c r="F14" s="5">
        <f t="shared" si="3"/>
        <v>6571.8562874251493</v>
      </c>
      <c r="G14" s="9">
        <v>0.43812375249500995</v>
      </c>
      <c r="H14" s="5">
        <f t="shared" si="0"/>
        <v>2148.2035928143714</v>
      </c>
      <c r="I14" s="9">
        <v>0.14321357285429143</v>
      </c>
      <c r="J14" s="5">
        <f t="shared" si="4"/>
        <v>1309.8802395209582</v>
      </c>
      <c r="K14" s="9">
        <v>8.7325349301397209E-2</v>
      </c>
      <c r="L14" s="5">
        <f t="shared" si="5"/>
        <v>329.34131736526945</v>
      </c>
      <c r="M14" s="9">
        <v>2.1956087824351298E-2</v>
      </c>
      <c r="N14" s="5">
        <f t="shared" si="6"/>
        <v>329.34131736526945</v>
      </c>
      <c r="O14" s="9">
        <v>2.1956087824351298E-2</v>
      </c>
      <c r="P14" s="5">
        <f t="shared" si="7"/>
        <v>0</v>
      </c>
      <c r="Q14" s="9">
        <v>0</v>
      </c>
      <c r="R14" s="5">
        <f t="shared" si="8"/>
        <v>0</v>
      </c>
      <c r="S14" s="9">
        <v>0</v>
      </c>
      <c r="T14" s="5">
        <f t="shared" si="9"/>
        <v>0</v>
      </c>
      <c r="U14" s="9">
        <v>0</v>
      </c>
      <c r="V14" s="5">
        <f t="shared" si="10"/>
        <v>0</v>
      </c>
      <c r="W14" s="9">
        <v>0</v>
      </c>
      <c r="X14" s="5">
        <f t="shared" si="11"/>
        <v>0</v>
      </c>
      <c r="Y14" s="9">
        <v>0</v>
      </c>
      <c r="Z14" s="5">
        <v>15000</v>
      </c>
      <c r="AA14" s="5">
        <f t="shared" si="12"/>
        <v>15000.000000000002</v>
      </c>
      <c r="AB14" s="10">
        <f>C14+E14+G14+I14+K14+M14+O14+Q14+S14+U14+W14+Y14</f>
        <v>1</v>
      </c>
    </row>
    <row r="15" spans="1:32">
      <c r="A15" s="3" t="s">
        <v>21</v>
      </c>
      <c r="B15" s="5">
        <f t="shared" si="1"/>
        <v>0</v>
      </c>
      <c r="C15" s="9">
        <v>0</v>
      </c>
      <c r="D15" s="5">
        <f t="shared" si="2"/>
        <v>0</v>
      </c>
      <c r="E15" s="9">
        <v>0</v>
      </c>
      <c r="F15" s="5">
        <f t="shared" si="3"/>
        <v>784.48275862068965</v>
      </c>
      <c r="G15" s="9">
        <v>0.44827586206896552</v>
      </c>
      <c r="H15" s="5">
        <f t="shared" si="0"/>
        <v>784.48275862068965</v>
      </c>
      <c r="I15" s="9">
        <v>0.44827586206896552</v>
      </c>
      <c r="J15" s="5">
        <f t="shared" si="4"/>
        <v>0</v>
      </c>
      <c r="K15" s="9">
        <v>0</v>
      </c>
      <c r="L15" s="5">
        <f t="shared" si="5"/>
        <v>120.68965517241379</v>
      </c>
      <c r="M15" s="9">
        <v>6.8965517241379309E-2</v>
      </c>
      <c r="N15" s="5">
        <f t="shared" si="6"/>
        <v>0</v>
      </c>
      <c r="O15" s="9">
        <v>0</v>
      </c>
      <c r="P15" s="5">
        <f t="shared" si="7"/>
        <v>0</v>
      </c>
      <c r="Q15" s="9">
        <v>0</v>
      </c>
      <c r="R15" s="5">
        <f t="shared" si="8"/>
        <v>0</v>
      </c>
      <c r="S15" s="9">
        <v>0</v>
      </c>
      <c r="T15" s="5">
        <f t="shared" si="9"/>
        <v>0</v>
      </c>
      <c r="U15" s="9">
        <v>0</v>
      </c>
      <c r="V15" s="5">
        <f t="shared" si="10"/>
        <v>0</v>
      </c>
      <c r="W15" s="9">
        <v>0</v>
      </c>
      <c r="X15" s="5">
        <f t="shared" si="11"/>
        <v>60.344827586206897</v>
      </c>
      <c r="Y15" s="9">
        <v>3.4482758620689655E-2</v>
      </c>
      <c r="Z15" s="5">
        <v>1750</v>
      </c>
      <c r="AA15" s="5">
        <f t="shared" si="12"/>
        <v>1750</v>
      </c>
      <c r="AB15" s="10">
        <f>C15+E15+G15+I15+K15+M15+O15+Q15+S15+U15+W15+Y15</f>
        <v>1</v>
      </c>
    </row>
    <row r="16" spans="1:32">
      <c r="A16" s="3" t="s">
        <v>22</v>
      </c>
      <c r="B16" s="5">
        <f t="shared" si="1"/>
        <v>0</v>
      </c>
      <c r="C16" s="9">
        <v>0</v>
      </c>
      <c r="D16" s="5">
        <f t="shared" si="2"/>
        <v>0</v>
      </c>
      <c r="E16" s="9">
        <v>0</v>
      </c>
      <c r="F16" s="5">
        <f t="shared" si="3"/>
        <v>-3231.7736143688153</v>
      </c>
      <c r="G16" s="9">
        <v>0.21545157429125436</v>
      </c>
      <c r="H16" s="5">
        <f t="shared" si="0"/>
        <v>-7798.3192396168406</v>
      </c>
      <c r="I16" s="9">
        <v>0.51988794930778937</v>
      </c>
      <c r="J16" s="5">
        <f t="shared" si="4"/>
        <v>-2646.604764009563</v>
      </c>
      <c r="K16" s="9">
        <v>0.17644031760063753</v>
      </c>
      <c r="L16" s="5">
        <f t="shared" si="5"/>
        <v>-1323.3023820047815</v>
      </c>
      <c r="M16" s="9">
        <v>8.8220158800318763E-2</v>
      </c>
      <c r="N16" s="5">
        <f t="shared" si="6"/>
        <v>0</v>
      </c>
      <c r="O16" s="9">
        <v>0</v>
      </c>
      <c r="P16" s="5">
        <f t="shared" si="7"/>
        <v>0</v>
      </c>
      <c r="Q16" s="9">
        <v>0</v>
      </c>
      <c r="R16" s="5">
        <f t="shared" si="8"/>
        <v>0</v>
      </c>
      <c r="S16" s="9">
        <v>0</v>
      </c>
      <c r="T16" s="5">
        <f t="shared" si="9"/>
        <v>0</v>
      </c>
      <c r="U16" s="9">
        <v>0</v>
      </c>
      <c r="V16" s="5">
        <f t="shared" si="10"/>
        <v>0</v>
      </c>
      <c r="W16" s="9">
        <v>0</v>
      </c>
      <c r="X16" s="5">
        <f t="shared" si="11"/>
        <v>0</v>
      </c>
      <c r="Y16" s="9">
        <v>0</v>
      </c>
      <c r="Z16" s="5">
        <v>-15000</v>
      </c>
      <c r="AA16" s="5">
        <f t="shared" si="12"/>
        <v>-15000</v>
      </c>
      <c r="AB16" s="10">
        <f>C16+E16+G16+I16+K16+M16+O16+Q16+S16+U16+W16+Y16</f>
        <v>1</v>
      </c>
    </row>
    <row r="17" spans="1:28">
      <c r="A17" s="3" t="s">
        <v>23</v>
      </c>
      <c r="B17" s="6">
        <f t="shared" si="1"/>
        <v>5083.3881038448899</v>
      </c>
      <c r="C17" s="9">
        <v>2.9047932021970801</v>
      </c>
      <c r="D17" s="6">
        <f t="shared" si="2"/>
        <v>2310.6309562931319</v>
      </c>
      <c r="E17" s="9">
        <v>1.3203605464532182</v>
      </c>
      <c r="F17" s="6">
        <f t="shared" si="3"/>
        <v>6451.9799539927708</v>
      </c>
      <c r="G17" s="9">
        <v>3.6868456879958691</v>
      </c>
      <c r="H17" s="6">
        <f t="shared" si="0"/>
        <v>-8886.7893526125536</v>
      </c>
      <c r="I17" s="9">
        <v>-5.0781653443500305</v>
      </c>
      <c r="J17" s="6">
        <f t="shared" si="4"/>
        <v>-2246.4467630627669</v>
      </c>
      <c r="K17" s="9">
        <v>-1.2836838646072954</v>
      </c>
      <c r="L17" s="6">
        <f t="shared" si="5"/>
        <v>-1578.9311534669735</v>
      </c>
      <c r="M17" s="9">
        <v>-0.90224637340969915</v>
      </c>
      <c r="N17" s="6">
        <f t="shared" si="6"/>
        <v>564.82090042721006</v>
      </c>
      <c r="O17" s="9">
        <v>0.32275480024412001</v>
      </c>
      <c r="P17" s="6">
        <f t="shared" si="7"/>
        <v>0</v>
      </c>
      <c r="Q17" s="9">
        <v>0</v>
      </c>
      <c r="R17" s="6">
        <f t="shared" si="8"/>
        <v>0</v>
      </c>
      <c r="S17" s="9">
        <v>0</v>
      </c>
      <c r="T17" s="6">
        <f t="shared" si="9"/>
        <v>0</v>
      </c>
      <c r="U17" s="9">
        <v>0</v>
      </c>
      <c r="V17" s="6">
        <f t="shared" si="10"/>
        <v>0</v>
      </c>
      <c r="W17" s="9">
        <v>0</v>
      </c>
      <c r="X17" s="6">
        <f t="shared" si="11"/>
        <v>51.347354584291814</v>
      </c>
      <c r="Y17" s="9">
        <v>2.9341345476738181E-2</v>
      </c>
      <c r="Z17" s="6">
        <f>SUM(Z14:Z16)</f>
        <v>1750</v>
      </c>
      <c r="AA17" s="6">
        <f t="shared" si="12"/>
        <v>1750.0000000000016</v>
      </c>
      <c r="AB17" s="10">
        <f>C17+E17+G17+I17+K17+M17+O17+Q17+S17+U17+W17+Y17</f>
        <v>1</v>
      </c>
    </row>
    <row r="18" spans="1:28">
      <c r="A18" s="3" t="s">
        <v>24</v>
      </c>
      <c r="B18" s="5"/>
      <c r="C18" s="9"/>
      <c r="D18" s="5"/>
      <c r="E18" s="9"/>
      <c r="F18" s="5"/>
      <c r="G18" s="9"/>
      <c r="H18" s="5"/>
      <c r="I18" s="9"/>
      <c r="J18" s="5"/>
      <c r="K18" s="9"/>
      <c r="L18" s="5"/>
      <c r="M18" s="9"/>
      <c r="N18" s="5"/>
      <c r="O18" s="9"/>
      <c r="P18" s="5"/>
      <c r="Q18" s="9"/>
      <c r="R18" s="5"/>
      <c r="S18" s="9"/>
      <c r="T18" s="5"/>
      <c r="U18" s="9"/>
      <c r="V18" s="5"/>
      <c r="W18" s="9" t="e">
        <v>#DIV/0!</v>
      </c>
      <c r="X18" s="5"/>
      <c r="Y18" s="9"/>
      <c r="Z18" s="5"/>
      <c r="AA18" s="5"/>
      <c r="AB18" s="10"/>
    </row>
    <row r="19" spans="1:28">
      <c r="A19" s="3" t="s">
        <v>131</v>
      </c>
      <c r="B19" s="5">
        <f t="shared" si="1"/>
        <v>0</v>
      </c>
      <c r="C19" s="9"/>
      <c r="D19" s="5">
        <f t="shared" si="2"/>
        <v>0</v>
      </c>
      <c r="E19" s="9"/>
      <c r="F19" s="5">
        <f t="shared" si="3"/>
        <v>0</v>
      </c>
      <c r="G19" s="9"/>
      <c r="H19" s="5">
        <f t="shared" si="0"/>
        <v>0</v>
      </c>
      <c r="I19" s="9"/>
      <c r="J19" s="5">
        <f t="shared" si="4"/>
        <v>0</v>
      </c>
      <c r="K19" s="9"/>
      <c r="L19" s="5">
        <f t="shared" si="5"/>
        <v>0</v>
      </c>
      <c r="M19" s="9"/>
      <c r="N19" s="5">
        <f t="shared" si="6"/>
        <v>0</v>
      </c>
      <c r="O19" s="9"/>
      <c r="P19" s="5">
        <f t="shared" si="7"/>
        <v>0</v>
      </c>
      <c r="Q19" s="9"/>
      <c r="R19" s="5">
        <f t="shared" si="8"/>
        <v>0</v>
      </c>
      <c r="S19" s="9"/>
      <c r="T19" s="5">
        <f t="shared" si="9"/>
        <v>0</v>
      </c>
      <c r="U19" s="9"/>
      <c r="V19" s="5">
        <f t="shared" si="10"/>
        <v>0</v>
      </c>
      <c r="W19" s="9"/>
      <c r="X19" s="5">
        <f t="shared" si="11"/>
        <v>0</v>
      </c>
      <c r="Y19" s="9"/>
      <c r="Z19" s="5">
        <v>2000</v>
      </c>
      <c r="AA19" s="5">
        <f t="shared" si="12"/>
        <v>0</v>
      </c>
      <c r="AB19" s="10"/>
    </row>
    <row r="20" spans="1:28">
      <c r="A20" s="3" t="s">
        <v>25</v>
      </c>
      <c r="B20" s="5">
        <f t="shared" si="1"/>
        <v>0</v>
      </c>
      <c r="C20" s="9">
        <v>0</v>
      </c>
      <c r="D20" s="5">
        <f t="shared" si="2"/>
        <v>0</v>
      </c>
      <c r="E20" s="9">
        <v>0</v>
      </c>
      <c r="F20" s="5">
        <f t="shared" si="3"/>
        <v>0</v>
      </c>
      <c r="G20" s="9">
        <v>0</v>
      </c>
      <c r="H20" s="5">
        <f t="shared" si="0"/>
        <v>0</v>
      </c>
      <c r="I20" s="9">
        <v>0</v>
      </c>
      <c r="J20" s="5">
        <f t="shared" si="4"/>
        <v>13712.521837110542</v>
      </c>
      <c r="K20" s="9">
        <v>0.47089704110956532</v>
      </c>
      <c r="L20" s="5">
        <f t="shared" si="5"/>
        <v>3692.7796688807562</v>
      </c>
      <c r="M20" s="9">
        <v>0.12681248862914685</v>
      </c>
      <c r="N20" s="5">
        <f t="shared" si="6"/>
        <v>6523.9107483560028</v>
      </c>
      <c r="O20" s="9">
        <v>0.22403539657815943</v>
      </c>
      <c r="P20" s="5">
        <f t="shared" si="7"/>
        <v>3101.9349218598354</v>
      </c>
      <c r="Q20" s="9">
        <v>0.10652249044848336</v>
      </c>
      <c r="R20" s="5">
        <f t="shared" si="8"/>
        <v>1916.5231059117614</v>
      </c>
      <c r="S20" s="9">
        <v>6.5814667098618176E-2</v>
      </c>
      <c r="T20" s="5">
        <f t="shared" si="9"/>
        <v>172.32971788110194</v>
      </c>
      <c r="U20" s="9">
        <v>5.9179161360268526E-3</v>
      </c>
      <c r="V20" s="5">
        <f t="shared" si="10"/>
        <v>0</v>
      </c>
      <c r="W20" s="9">
        <v>0</v>
      </c>
      <c r="X20" s="5">
        <f t="shared" si="11"/>
        <v>0</v>
      </c>
      <c r="Y20" s="9">
        <v>0</v>
      </c>
      <c r="Z20" s="5">
        <v>29120</v>
      </c>
      <c r="AA20" s="5">
        <f t="shared" si="12"/>
        <v>29120</v>
      </c>
      <c r="AB20" s="10">
        <f>C20+E20+G20+I20+K20+M20+O20+Q20+S20+U20+W20+Y20</f>
        <v>1</v>
      </c>
    </row>
    <row r="21" spans="1:28">
      <c r="A21" s="3" t="s">
        <v>26</v>
      </c>
      <c r="B21" s="5">
        <f t="shared" si="1"/>
        <v>0</v>
      </c>
      <c r="C21" s="9">
        <v>0</v>
      </c>
      <c r="D21" s="5">
        <f t="shared" si="2"/>
        <v>0</v>
      </c>
      <c r="E21" s="9">
        <v>0</v>
      </c>
      <c r="F21" s="5">
        <f t="shared" si="3"/>
        <v>0</v>
      </c>
      <c r="G21" s="9">
        <v>0</v>
      </c>
      <c r="H21" s="5">
        <f t="shared" si="0"/>
        <v>0</v>
      </c>
      <c r="I21" s="9">
        <v>0</v>
      </c>
      <c r="J21" s="5">
        <f t="shared" si="4"/>
        <v>-142.08957925152103</v>
      </c>
      <c r="K21" s="9">
        <v>2.1044789625760507E-2</v>
      </c>
      <c r="L21" s="5">
        <f t="shared" si="5"/>
        <v>0</v>
      </c>
      <c r="M21" s="9">
        <v>0</v>
      </c>
      <c r="N21" s="5">
        <f t="shared" si="6"/>
        <v>-22.421735605890021</v>
      </c>
      <c r="O21" s="9">
        <v>3.3208678029450081E-3</v>
      </c>
      <c r="P21" s="5">
        <f t="shared" si="7"/>
        <v>0</v>
      </c>
      <c r="Q21" s="9">
        <v>0</v>
      </c>
      <c r="R21" s="5">
        <f t="shared" si="8"/>
        <v>-120.77614236379287</v>
      </c>
      <c r="S21" s="9">
        <v>1.788807118189643E-2</v>
      </c>
      <c r="T21" s="5">
        <f t="shared" si="9"/>
        <v>-6466.4825427787964</v>
      </c>
      <c r="U21" s="9">
        <v>0.95774627138939805</v>
      </c>
      <c r="V21" s="5">
        <f t="shared" si="10"/>
        <v>0</v>
      </c>
      <c r="W21" s="9">
        <v>0</v>
      </c>
      <c r="X21" s="5">
        <f t="shared" si="11"/>
        <v>0</v>
      </c>
      <c r="Y21" s="9">
        <v>0</v>
      </c>
      <c r="Z21" s="5">
        <v>-6751.77</v>
      </c>
      <c r="AA21" s="5">
        <f t="shared" si="12"/>
        <v>-6751.77</v>
      </c>
      <c r="AB21" s="10">
        <f>C21+E21+G21+I21+K21+M21+O21+Q21+S21+U21+W21+Y21</f>
        <v>1</v>
      </c>
    </row>
    <row r="22" spans="1:28">
      <c r="A22" s="3" t="s">
        <v>27</v>
      </c>
      <c r="B22" s="6">
        <f t="shared" si="1"/>
        <v>0</v>
      </c>
      <c r="C22" s="9">
        <v>0</v>
      </c>
      <c r="D22" s="6">
        <f t="shared" si="2"/>
        <v>0</v>
      </c>
      <c r="E22" s="9">
        <v>0</v>
      </c>
      <c r="F22" s="6">
        <f t="shared" si="3"/>
        <v>0</v>
      </c>
      <c r="G22" s="9">
        <v>0</v>
      </c>
      <c r="H22" s="6">
        <f t="shared" si="0"/>
        <v>0</v>
      </c>
      <c r="I22" s="9">
        <v>0</v>
      </c>
      <c r="J22" s="6">
        <f t="shared" si="4"/>
        <v>13573.660163702254</v>
      </c>
      <c r="K22" s="9">
        <v>0.55702281879735438</v>
      </c>
      <c r="L22" s="6">
        <f t="shared" si="5"/>
        <v>3681.8246375322569</v>
      </c>
      <c r="M22" s="9">
        <v>0.15109118050561149</v>
      </c>
      <c r="N22" s="6">
        <f t="shared" si="6"/>
        <v>6489.0637415655856</v>
      </c>
      <c r="O22" s="9">
        <v>0.26629196053901272</v>
      </c>
      <c r="P22" s="6">
        <f t="shared" si="7"/>
        <v>3092.7326955270964</v>
      </c>
      <c r="Q22" s="9">
        <v>0.12691659162471366</v>
      </c>
      <c r="R22" s="6">
        <f t="shared" si="8"/>
        <v>1827.3828404980766</v>
      </c>
      <c r="S22" s="9">
        <v>7.4990380528174458E-2</v>
      </c>
      <c r="T22" s="6">
        <f t="shared" si="9"/>
        <v>-4296.4340788252748</v>
      </c>
      <c r="U22" s="9">
        <v>-0.17631293199486689</v>
      </c>
      <c r="V22" s="6">
        <f t="shared" si="10"/>
        <v>0</v>
      </c>
      <c r="W22" s="9">
        <v>0</v>
      </c>
      <c r="X22" s="6">
        <f t="shared" si="11"/>
        <v>0</v>
      </c>
      <c r="Y22" s="9">
        <v>0</v>
      </c>
      <c r="Z22" s="6">
        <f>SUM(Z19:Z21)</f>
        <v>24368.23</v>
      </c>
      <c r="AA22" s="6">
        <f t="shared" si="12"/>
        <v>24368.23</v>
      </c>
      <c r="AB22" s="10">
        <f>C22+E22+G22+I22+K22+M22+O22+Q22+S22+U22+W22+Y22</f>
        <v>0.99999999999999978</v>
      </c>
    </row>
    <row r="23" spans="1:28">
      <c r="A23" s="3" t="s">
        <v>28</v>
      </c>
      <c r="B23" s="5"/>
      <c r="C23" s="9"/>
      <c r="D23" s="5"/>
      <c r="E23" s="9"/>
      <c r="F23" s="5"/>
      <c r="G23" s="9"/>
      <c r="H23" s="5"/>
      <c r="I23" s="9"/>
      <c r="J23" s="5"/>
      <c r="K23" s="9"/>
      <c r="L23" s="5"/>
      <c r="M23" s="9"/>
      <c r="N23" s="5"/>
      <c r="O23" s="9"/>
      <c r="P23" s="5"/>
      <c r="Q23" s="9"/>
      <c r="R23" s="5"/>
      <c r="S23" s="9"/>
      <c r="T23" s="5"/>
      <c r="U23" s="9"/>
      <c r="V23" s="5"/>
      <c r="W23" s="9"/>
      <c r="X23" s="5"/>
      <c r="Y23" s="9"/>
      <c r="Z23" s="5"/>
      <c r="AA23" s="5"/>
      <c r="AB23" s="10"/>
    </row>
    <row r="24" spans="1:28">
      <c r="A24" s="3" t="s">
        <v>29</v>
      </c>
      <c r="B24" s="5">
        <f t="shared" si="1"/>
        <v>0</v>
      </c>
      <c r="C24" s="9">
        <v>0</v>
      </c>
      <c r="D24" s="5">
        <f t="shared" si="2"/>
        <v>250</v>
      </c>
      <c r="E24" s="9">
        <v>1</v>
      </c>
      <c r="F24" s="5">
        <f t="shared" si="3"/>
        <v>0</v>
      </c>
      <c r="G24" s="9">
        <v>0</v>
      </c>
      <c r="H24" s="5">
        <f t="shared" si="0"/>
        <v>0</v>
      </c>
      <c r="I24" s="9">
        <v>0</v>
      </c>
      <c r="J24" s="5">
        <f t="shared" si="4"/>
        <v>0</v>
      </c>
      <c r="K24" s="9">
        <v>0</v>
      </c>
      <c r="L24" s="5">
        <f t="shared" si="5"/>
        <v>0</v>
      </c>
      <c r="M24" s="9">
        <v>0</v>
      </c>
      <c r="N24" s="5">
        <f t="shared" si="6"/>
        <v>0</v>
      </c>
      <c r="O24" s="9">
        <v>0</v>
      </c>
      <c r="P24" s="5">
        <f t="shared" si="7"/>
        <v>0</v>
      </c>
      <c r="Q24" s="9">
        <v>0</v>
      </c>
      <c r="R24" s="5">
        <f t="shared" si="8"/>
        <v>0</v>
      </c>
      <c r="S24" s="9">
        <v>0</v>
      </c>
      <c r="T24" s="5">
        <f t="shared" si="9"/>
        <v>0</v>
      </c>
      <c r="U24" s="9">
        <v>0</v>
      </c>
      <c r="V24" s="5">
        <f t="shared" si="10"/>
        <v>0</v>
      </c>
      <c r="W24" s="9">
        <v>0</v>
      </c>
      <c r="X24" s="5">
        <f t="shared" si="11"/>
        <v>0</v>
      </c>
      <c r="Y24" s="9">
        <v>0</v>
      </c>
      <c r="Z24" s="5">
        <v>250</v>
      </c>
      <c r="AA24" s="5">
        <f t="shared" si="12"/>
        <v>250</v>
      </c>
      <c r="AB24" s="10">
        <f>C24+E24+G24+I24+K24+M24+O24+Q24+S24+U24+W24+Y24</f>
        <v>1</v>
      </c>
    </row>
    <row r="25" spans="1:28">
      <c r="A25" s="3" t="s">
        <v>30</v>
      </c>
      <c r="B25" s="5">
        <f t="shared" si="1"/>
        <v>0</v>
      </c>
      <c r="C25" s="9">
        <v>0</v>
      </c>
      <c r="D25" s="5">
        <f t="shared" si="2"/>
        <v>0</v>
      </c>
      <c r="E25" s="9">
        <v>0</v>
      </c>
      <c r="F25" s="5">
        <f t="shared" si="3"/>
        <v>0</v>
      </c>
      <c r="G25" s="9">
        <v>0</v>
      </c>
      <c r="H25" s="5">
        <f t="shared" si="0"/>
        <v>0</v>
      </c>
      <c r="I25" s="9">
        <v>0</v>
      </c>
      <c r="J25" s="5">
        <f t="shared" si="4"/>
        <v>0</v>
      </c>
      <c r="K25" s="9">
        <v>0</v>
      </c>
      <c r="L25" s="5">
        <f t="shared" si="5"/>
        <v>0</v>
      </c>
      <c r="M25" s="9">
        <v>0</v>
      </c>
      <c r="N25" s="5">
        <f t="shared" si="6"/>
        <v>395.74468085106383</v>
      </c>
      <c r="O25" s="9">
        <v>0.26382978723404255</v>
      </c>
      <c r="P25" s="5">
        <f t="shared" si="7"/>
        <v>1104.255319148936</v>
      </c>
      <c r="Q25" s="9">
        <v>0.7361702127659574</v>
      </c>
      <c r="R25" s="5">
        <f t="shared" si="8"/>
        <v>0</v>
      </c>
      <c r="S25" s="9">
        <v>0</v>
      </c>
      <c r="T25" s="5">
        <f t="shared" si="9"/>
        <v>0</v>
      </c>
      <c r="U25" s="9">
        <v>0</v>
      </c>
      <c r="V25" s="5">
        <f t="shared" si="10"/>
        <v>0</v>
      </c>
      <c r="W25" s="9">
        <v>0</v>
      </c>
      <c r="X25" s="5">
        <f t="shared" si="11"/>
        <v>0</v>
      </c>
      <c r="Y25" s="9">
        <v>0</v>
      </c>
      <c r="Z25" s="5">
        <v>1500</v>
      </c>
      <c r="AA25" s="5">
        <f t="shared" si="12"/>
        <v>1499.9999999999998</v>
      </c>
      <c r="AB25" s="10">
        <f>C25+E25+G25+I25+K25+M25+O25+Q25+S25+U25+W25+Y25</f>
        <v>1</v>
      </c>
    </row>
    <row r="26" spans="1:28">
      <c r="A26" s="3" t="s">
        <v>31</v>
      </c>
      <c r="B26" s="5">
        <f t="shared" si="1"/>
        <v>-318.63619171124441</v>
      </c>
      <c r="C26" s="9">
        <v>0.63727238342248882</v>
      </c>
      <c r="D26" s="5">
        <f t="shared" si="2"/>
        <v>0</v>
      </c>
      <c r="E26" s="9">
        <v>0</v>
      </c>
      <c r="F26" s="5">
        <f t="shared" si="3"/>
        <v>0</v>
      </c>
      <c r="G26" s="9">
        <v>0</v>
      </c>
      <c r="H26" s="5">
        <f t="shared" si="0"/>
        <v>0</v>
      </c>
      <c r="I26" s="9">
        <v>0</v>
      </c>
      <c r="J26" s="5">
        <f t="shared" si="4"/>
        <v>0</v>
      </c>
      <c r="K26" s="9">
        <v>0</v>
      </c>
      <c r="L26" s="5">
        <f t="shared" si="5"/>
        <v>0</v>
      </c>
      <c r="M26" s="9">
        <v>0</v>
      </c>
      <c r="N26" s="5">
        <f t="shared" si="6"/>
        <v>0</v>
      </c>
      <c r="O26" s="9">
        <v>0</v>
      </c>
      <c r="P26" s="5">
        <f t="shared" si="7"/>
        <v>0</v>
      </c>
      <c r="Q26" s="9">
        <v>0</v>
      </c>
      <c r="R26" s="5">
        <f t="shared" si="8"/>
        <v>-181.36380828875559</v>
      </c>
      <c r="S26" s="9">
        <v>0.36272761657751118</v>
      </c>
      <c r="T26" s="5">
        <f t="shared" si="9"/>
        <v>0</v>
      </c>
      <c r="U26" s="9">
        <v>0</v>
      </c>
      <c r="V26" s="5">
        <f t="shared" si="10"/>
        <v>0</v>
      </c>
      <c r="W26" s="9">
        <v>0</v>
      </c>
      <c r="X26" s="5">
        <f t="shared" si="11"/>
        <v>0</v>
      </c>
      <c r="Y26" s="9">
        <v>0</v>
      </c>
      <c r="Z26" s="5">
        <v>-500</v>
      </c>
      <c r="AA26" s="5">
        <f t="shared" si="12"/>
        <v>-500</v>
      </c>
      <c r="AB26" s="10">
        <f>C26+E26+G26+I26+K26+M26+O26+Q26+S26+U26+W26+Y26</f>
        <v>1</v>
      </c>
    </row>
    <row r="27" spans="1:28">
      <c r="A27" s="3" t="s">
        <v>129</v>
      </c>
      <c r="B27" s="5">
        <f t="shared" si="1"/>
        <v>0</v>
      </c>
      <c r="C27" s="9">
        <v>0</v>
      </c>
      <c r="D27" s="5">
        <f t="shared" si="2"/>
        <v>0</v>
      </c>
      <c r="E27" s="9">
        <v>0</v>
      </c>
      <c r="F27" s="5">
        <f t="shared" si="3"/>
        <v>0</v>
      </c>
      <c r="G27" s="9">
        <v>0</v>
      </c>
      <c r="H27" s="5">
        <f t="shared" si="0"/>
        <v>0</v>
      </c>
      <c r="I27" s="9">
        <v>0</v>
      </c>
      <c r="J27" s="5">
        <f t="shared" si="4"/>
        <v>0</v>
      </c>
      <c r="K27" s="9">
        <v>0</v>
      </c>
      <c r="L27" s="5">
        <f t="shared" si="5"/>
        <v>0</v>
      </c>
      <c r="M27" s="9">
        <v>0</v>
      </c>
      <c r="N27" s="5">
        <f t="shared" si="6"/>
        <v>0</v>
      </c>
      <c r="O27" s="9">
        <v>0</v>
      </c>
      <c r="P27" s="5">
        <f t="shared" si="7"/>
        <v>0</v>
      </c>
      <c r="Q27" s="9">
        <v>0</v>
      </c>
      <c r="R27" s="5">
        <f t="shared" si="8"/>
        <v>0</v>
      </c>
      <c r="S27" s="9">
        <v>1</v>
      </c>
      <c r="T27" s="5">
        <f t="shared" si="9"/>
        <v>0</v>
      </c>
      <c r="U27" s="9">
        <v>0</v>
      </c>
      <c r="V27" s="5">
        <f t="shared" si="10"/>
        <v>0</v>
      </c>
      <c r="W27" s="9">
        <v>0</v>
      </c>
      <c r="X27" s="5">
        <f t="shared" si="11"/>
        <v>0</v>
      </c>
      <c r="Y27" s="9">
        <v>0</v>
      </c>
      <c r="Z27" s="5"/>
      <c r="AA27" s="5">
        <f t="shared" si="12"/>
        <v>0</v>
      </c>
      <c r="AB27" s="10">
        <f>C27+E27+G27+I27+K27+M27+O27+Q27+S27+U27+W27+Y27</f>
        <v>1</v>
      </c>
    </row>
    <row r="28" spans="1:28">
      <c r="A28" s="3" t="s">
        <v>32</v>
      </c>
      <c r="B28" s="5">
        <f t="shared" si="1"/>
        <v>0</v>
      </c>
      <c r="C28" s="9"/>
      <c r="D28" s="5">
        <f t="shared" si="2"/>
        <v>0</v>
      </c>
      <c r="E28" s="9"/>
      <c r="F28" s="5">
        <f t="shared" si="3"/>
        <v>0</v>
      </c>
      <c r="G28" s="9"/>
      <c r="H28" s="5">
        <f t="shared" si="0"/>
        <v>0</v>
      </c>
      <c r="I28" s="9"/>
      <c r="J28" s="5">
        <f t="shared" si="4"/>
        <v>0</v>
      </c>
      <c r="K28" s="9"/>
      <c r="L28" s="5">
        <f t="shared" si="5"/>
        <v>0</v>
      </c>
      <c r="M28" s="9"/>
      <c r="N28" s="5">
        <f t="shared" si="6"/>
        <v>0</v>
      </c>
      <c r="O28" s="9"/>
      <c r="P28" s="5">
        <f t="shared" si="7"/>
        <v>0</v>
      </c>
      <c r="Q28" s="9"/>
      <c r="R28" s="5">
        <f t="shared" si="8"/>
        <v>0</v>
      </c>
      <c r="S28" s="9"/>
      <c r="T28" s="5">
        <f t="shared" si="9"/>
        <v>0</v>
      </c>
      <c r="U28" s="9"/>
      <c r="V28" s="5">
        <f t="shared" si="10"/>
        <v>0</v>
      </c>
      <c r="W28" s="9"/>
      <c r="X28" s="5">
        <f t="shared" si="11"/>
        <v>0</v>
      </c>
      <c r="Y28" s="9"/>
      <c r="Z28" s="5"/>
      <c r="AA28" s="5">
        <f t="shared" si="12"/>
        <v>0</v>
      </c>
      <c r="AB28" s="10"/>
    </row>
    <row r="29" spans="1:28">
      <c r="A29" s="3" t="s">
        <v>130</v>
      </c>
      <c r="B29" s="5">
        <f t="shared" si="1"/>
        <v>0</v>
      </c>
      <c r="C29" s="9"/>
      <c r="D29" s="5">
        <f t="shared" si="2"/>
        <v>0</v>
      </c>
      <c r="E29" s="9"/>
      <c r="F29" s="5">
        <f t="shared" si="3"/>
        <v>0</v>
      </c>
      <c r="G29" s="9"/>
      <c r="H29" s="5">
        <f t="shared" si="0"/>
        <v>0</v>
      </c>
      <c r="I29" s="9"/>
      <c r="J29" s="5">
        <f t="shared" si="4"/>
        <v>0</v>
      </c>
      <c r="K29" s="9"/>
      <c r="L29" s="5">
        <f t="shared" si="5"/>
        <v>0</v>
      </c>
      <c r="M29" s="9"/>
      <c r="N29" s="5">
        <f t="shared" si="6"/>
        <v>0</v>
      </c>
      <c r="O29" s="9"/>
      <c r="P29" s="5">
        <f t="shared" si="7"/>
        <v>0</v>
      </c>
      <c r="Q29" s="9"/>
      <c r="R29" s="5">
        <f t="shared" si="8"/>
        <v>0</v>
      </c>
      <c r="S29" s="9"/>
      <c r="T29" s="5">
        <f t="shared" si="9"/>
        <v>0</v>
      </c>
      <c r="U29" s="9"/>
      <c r="V29" s="5">
        <f t="shared" si="10"/>
        <v>0</v>
      </c>
      <c r="W29" s="9"/>
      <c r="X29" s="5">
        <f t="shared" si="11"/>
        <v>0</v>
      </c>
      <c r="Y29" s="9"/>
      <c r="Z29" s="5"/>
      <c r="AA29" s="5">
        <f t="shared" si="12"/>
        <v>0</v>
      </c>
      <c r="AB29" s="10"/>
    </row>
    <row r="30" spans="1:28">
      <c r="A30" s="3" t="s">
        <v>33</v>
      </c>
      <c r="B30" s="6">
        <f t="shared" si="1"/>
        <v>-131.6376916414419</v>
      </c>
      <c r="C30" s="9">
        <v>-0.10531015331315352</v>
      </c>
      <c r="D30" s="6">
        <f t="shared" si="2"/>
        <v>111.61411873956411</v>
      </c>
      <c r="E30" s="9">
        <v>8.9291294991651282E-2</v>
      </c>
      <c r="F30" s="6">
        <f t="shared" si="3"/>
        <v>0</v>
      </c>
      <c r="G30" s="9">
        <v>0</v>
      </c>
      <c r="H30" s="6">
        <f t="shared" si="0"/>
        <v>0</v>
      </c>
      <c r="I30" s="9">
        <v>0</v>
      </c>
      <c r="J30" s="6">
        <f t="shared" si="4"/>
        <v>0</v>
      </c>
      <c r="K30" s="9">
        <v>0</v>
      </c>
      <c r="L30" s="6">
        <f t="shared" si="5"/>
        <v>0</v>
      </c>
      <c r="M30" s="9">
        <v>0</v>
      </c>
      <c r="N30" s="6">
        <f t="shared" si="6"/>
        <v>346.00376809264873</v>
      </c>
      <c r="O30" s="9">
        <v>0.27680301447411898</v>
      </c>
      <c r="P30" s="6">
        <f t="shared" si="7"/>
        <v>965.46212709722943</v>
      </c>
      <c r="Q30" s="9">
        <v>0.77236970167778352</v>
      </c>
      <c r="R30" s="6">
        <f t="shared" si="8"/>
        <v>-41.442322288000142</v>
      </c>
      <c r="S30" s="9">
        <v>-3.3153857830400112E-2</v>
      </c>
      <c r="T30" s="6">
        <f t="shared" si="9"/>
        <v>0</v>
      </c>
      <c r="U30" s="9">
        <v>0</v>
      </c>
      <c r="V30" s="6">
        <f t="shared" si="10"/>
        <v>0</v>
      </c>
      <c r="W30" s="9">
        <v>0</v>
      </c>
      <c r="X30" s="6">
        <f t="shared" si="11"/>
        <v>0</v>
      </c>
      <c r="Y30" s="9">
        <v>0</v>
      </c>
      <c r="Z30" s="6">
        <f>SUM(Z24:Z29)</f>
        <v>1250</v>
      </c>
      <c r="AA30" s="6">
        <f t="shared" si="12"/>
        <v>1250.0000000000002</v>
      </c>
      <c r="AB30" s="10">
        <f>C30+E30+G30+I30+K30+M30+O30+Q30+S30+U30+W30+Y30</f>
        <v>1.0000000000000002</v>
      </c>
    </row>
    <row r="31" spans="1:28">
      <c r="A31" s="3" t="s">
        <v>34</v>
      </c>
      <c r="B31" s="5"/>
      <c r="C31" s="9"/>
      <c r="D31" s="5"/>
      <c r="E31" s="9"/>
      <c r="F31" s="5"/>
      <c r="G31" s="9"/>
      <c r="H31" s="5"/>
      <c r="I31" s="9"/>
      <c r="J31" s="5"/>
      <c r="K31" s="9"/>
      <c r="L31" s="5"/>
      <c r="M31" s="9"/>
      <c r="N31" s="5"/>
      <c r="O31" s="9"/>
      <c r="P31" s="5"/>
      <c r="Q31" s="9"/>
      <c r="R31" s="5"/>
      <c r="S31" s="9"/>
      <c r="T31" s="5"/>
      <c r="U31" s="9"/>
      <c r="V31" s="5"/>
      <c r="W31" s="9"/>
      <c r="X31" s="5">
        <f t="shared" si="11"/>
        <v>0</v>
      </c>
      <c r="Y31" s="9"/>
      <c r="Z31" s="5"/>
      <c r="AA31" s="5">
        <f t="shared" si="12"/>
        <v>0</v>
      </c>
      <c r="AB31" s="10"/>
    </row>
    <row r="32" spans="1:28">
      <c r="A32" s="3" t="s">
        <v>35</v>
      </c>
      <c r="B32" s="5">
        <f t="shared" si="1"/>
        <v>0</v>
      </c>
      <c r="C32" s="9">
        <v>0</v>
      </c>
      <c r="D32" s="5">
        <f t="shared" si="2"/>
        <v>0</v>
      </c>
      <c r="E32" s="9">
        <v>0</v>
      </c>
      <c r="F32" s="5">
        <f t="shared" si="3"/>
        <v>0</v>
      </c>
      <c r="G32" s="9">
        <v>0</v>
      </c>
      <c r="H32" s="5">
        <f t="shared" si="0"/>
        <v>0</v>
      </c>
      <c r="I32" s="9">
        <v>0</v>
      </c>
      <c r="J32" s="5">
        <f t="shared" si="4"/>
        <v>0</v>
      </c>
      <c r="K32" s="9">
        <v>0</v>
      </c>
      <c r="L32" s="5">
        <f t="shared" si="5"/>
        <v>0</v>
      </c>
      <c r="M32" s="9">
        <v>0</v>
      </c>
      <c r="N32" s="5">
        <f t="shared" si="6"/>
        <v>0</v>
      </c>
      <c r="O32" s="9">
        <v>0</v>
      </c>
      <c r="P32" s="5">
        <f t="shared" si="7"/>
        <v>0</v>
      </c>
      <c r="Q32" s="9">
        <v>0</v>
      </c>
      <c r="R32" s="5">
        <f t="shared" si="8"/>
        <v>1588.7323943661972</v>
      </c>
      <c r="S32" s="9">
        <v>0.11267605633802817</v>
      </c>
      <c r="T32" s="5">
        <f t="shared" si="9"/>
        <v>2959.0140845070423</v>
      </c>
      <c r="U32" s="9">
        <v>0.20985915492957746</v>
      </c>
      <c r="V32" s="5">
        <f t="shared" si="10"/>
        <v>6374.788732394366</v>
      </c>
      <c r="W32" s="9">
        <v>0.45211267605633804</v>
      </c>
      <c r="X32" s="5">
        <f t="shared" si="11"/>
        <v>3177.4647887323945</v>
      </c>
      <c r="Y32" s="9">
        <v>0.22535211267605634</v>
      </c>
      <c r="Z32" s="5">
        <v>14100</v>
      </c>
      <c r="AA32" s="5">
        <f t="shared" si="12"/>
        <v>14100</v>
      </c>
      <c r="AB32" s="10">
        <f>C32+E32+G32+I32+K32+M32+O32+Q32+S32+U32+W32+Y32</f>
        <v>1</v>
      </c>
    </row>
    <row r="33" spans="1:28">
      <c r="A33" s="3" t="s">
        <v>36</v>
      </c>
      <c r="B33" s="5">
        <f t="shared" si="1"/>
        <v>0</v>
      </c>
      <c r="C33" s="9">
        <v>0</v>
      </c>
      <c r="D33" s="5">
        <f t="shared" si="2"/>
        <v>0</v>
      </c>
      <c r="E33" s="9">
        <v>0</v>
      </c>
      <c r="F33" s="5">
        <f t="shared" si="3"/>
        <v>0</v>
      </c>
      <c r="G33" s="9">
        <v>0</v>
      </c>
      <c r="H33" s="5">
        <f t="shared" si="0"/>
        <v>0</v>
      </c>
      <c r="I33" s="9">
        <v>0</v>
      </c>
      <c r="J33" s="5">
        <f t="shared" si="4"/>
        <v>0</v>
      </c>
      <c r="K33" s="9">
        <v>0</v>
      </c>
      <c r="L33" s="5">
        <f t="shared" si="5"/>
        <v>0</v>
      </c>
      <c r="M33" s="9">
        <v>0</v>
      </c>
      <c r="N33" s="5">
        <f t="shared" si="6"/>
        <v>0</v>
      </c>
      <c r="O33" s="9">
        <v>0</v>
      </c>
      <c r="P33" s="5">
        <f t="shared" si="7"/>
        <v>0</v>
      </c>
      <c r="Q33" s="9">
        <v>0</v>
      </c>
      <c r="R33" s="5">
        <f t="shared" si="8"/>
        <v>243.03621169916434</v>
      </c>
      <c r="S33" s="9">
        <v>2.7855153203342618E-2</v>
      </c>
      <c r="T33" s="5">
        <f t="shared" si="9"/>
        <v>4957.9387186629519</v>
      </c>
      <c r="U33" s="9">
        <v>0.56824512534818938</v>
      </c>
      <c r="V33" s="5">
        <f t="shared" si="10"/>
        <v>3280.9888579387184</v>
      </c>
      <c r="W33" s="9">
        <v>0.37604456824512533</v>
      </c>
      <c r="X33" s="5">
        <f t="shared" si="11"/>
        <v>243.03621169916434</v>
      </c>
      <c r="Y33" s="9">
        <v>2.7855153203342618E-2</v>
      </c>
      <c r="Z33" s="5">
        <v>8725</v>
      </c>
      <c r="AA33" s="5">
        <f t="shared" si="12"/>
        <v>8724.9999999999982</v>
      </c>
      <c r="AB33" s="10">
        <f>C33+E33+G33+I33+K33+M33+O33+Q33+S33+U33+W33+Y33</f>
        <v>1</v>
      </c>
    </row>
    <row r="34" spans="1:28">
      <c r="A34" s="3" t="s">
        <v>37</v>
      </c>
      <c r="B34" s="5">
        <f t="shared" si="1"/>
        <v>0</v>
      </c>
      <c r="C34" s="9">
        <v>0</v>
      </c>
      <c r="D34" s="5">
        <f t="shared" si="2"/>
        <v>0</v>
      </c>
      <c r="E34" s="9">
        <v>0</v>
      </c>
      <c r="F34" s="5">
        <f t="shared" si="3"/>
        <v>0</v>
      </c>
      <c r="G34" s="9">
        <v>0</v>
      </c>
      <c r="H34" s="5">
        <f t="shared" si="0"/>
        <v>0</v>
      </c>
      <c r="I34" s="9">
        <v>0</v>
      </c>
      <c r="J34" s="5">
        <f t="shared" si="4"/>
        <v>0</v>
      </c>
      <c r="K34" s="9">
        <v>0</v>
      </c>
      <c r="L34" s="5">
        <f t="shared" si="5"/>
        <v>0</v>
      </c>
      <c r="M34" s="9">
        <v>0</v>
      </c>
      <c r="N34" s="5">
        <f t="shared" si="6"/>
        <v>0</v>
      </c>
      <c r="O34" s="9">
        <v>0</v>
      </c>
      <c r="P34" s="5">
        <f t="shared" si="7"/>
        <v>0</v>
      </c>
      <c r="Q34" s="9">
        <v>0</v>
      </c>
      <c r="R34" s="5">
        <f t="shared" si="8"/>
        <v>0</v>
      </c>
      <c r="S34" s="9">
        <v>0</v>
      </c>
      <c r="T34" s="5">
        <f t="shared" si="9"/>
        <v>-5895.1050754284788</v>
      </c>
      <c r="U34" s="9">
        <v>0.23580420301713914</v>
      </c>
      <c r="V34" s="5">
        <f t="shared" si="10"/>
        <v>-82.452514216044648</v>
      </c>
      <c r="W34" s="9">
        <v>3.298100568641786E-3</v>
      </c>
      <c r="X34" s="5">
        <f t="shared" si="11"/>
        <v>-19022.442410355474</v>
      </c>
      <c r="Y34" s="9">
        <v>0.760897696414219</v>
      </c>
      <c r="Z34" s="5">
        <v>-25000</v>
      </c>
      <c r="AA34" s="5">
        <f t="shared" si="12"/>
        <v>-24999.999999999996</v>
      </c>
      <c r="AB34" s="10">
        <f>C34+E34+G34+I34+K34+M34+O34+Q34+S34+U34+W34+Y34</f>
        <v>1</v>
      </c>
    </row>
    <row r="35" spans="1:28">
      <c r="A35" s="3" t="s">
        <v>38</v>
      </c>
      <c r="B35" s="6">
        <f t="shared" si="1"/>
        <v>0</v>
      </c>
      <c r="C35" s="9">
        <v>0</v>
      </c>
      <c r="D35" s="6">
        <f t="shared" si="2"/>
        <v>0</v>
      </c>
      <c r="E35" s="9">
        <v>0</v>
      </c>
      <c r="F35" s="6">
        <f t="shared" si="3"/>
        <v>0</v>
      </c>
      <c r="G35" s="9">
        <v>0</v>
      </c>
      <c r="H35" s="6">
        <f t="shared" si="0"/>
        <v>0</v>
      </c>
      <c r="I35" s="9">
        <v>0</v>
      </c>
      <c r="J35" s="6">
        <f t="shared" si="4"/>
        <v>0</v>
      </c>
      <c r="K35" s="9">
        <v>0</v>
      </c>
      <c r="L35" s="6">
        <f t="shared" si="5"/>
        <v>0</v>
      </c>
      <c r="M35" s="9">
        <v>0</v>
      </c>
      <c r="N35" s="6">
        <f t="shared" si="6"/>
        <v>0</v>
      </c>
      <c r="O35" s="9">
        <v>0</v>
      </c>
      <c r="P35" s="6">
        <f t="shared" si="7"/>
        <v>0</v>
      </c>
      <c r="Q35" s="9">
        <v>0</v>
      </c>
      <c r="R35" s="6">
        <f t="shared" si="8"/>
        <v>6048.9104235936684</v>
      </c>
      <c r="S35" s="9">
        <v>-2.781108240732721</v>
      </c>
      <c r="T35" s="6">
        <f t="shared" si="9"/>
        <v>6270.3274291435218</v>
      </c>
      <c r="U35" s="9">
        <v>-2.8829091628246077</v>
      </c>
      <c r="V35" s="6">
        <f t="shared" si="10"/>
        <v>30403.678788178346</v>
      </c>
      <c r="W35" s="9">
        <v>-13.97870289111648</v>
      </c>
      <c r="X35" s="6">
        <f t="shared" si="11"/>
        <v>-44897.91664091553</v>
      </c>
      <c r="Y35" s="9">
        <v>20.642720294673808</v>
      </c>
      <c r="Z35" s="6">
        <f>SUM(Z32:Z34)</f>
        <v>-2175</v>
      </c>
      <c r="AA35" s="6">
        <f t="shared" si="12"/>
        <v>-2174.9999999999927</v>
      </c>
      <c r="AB35" s="10">
        <f>C35+E35+G35+I35+K35+M35+O35+Q35+S35+U35+W35+Y35</f>
        <v>1</v>
      </c>
    </row>
    <row r="36" spans="1:28">
      <c r="A36" s="3" t="s">
        <v>39</v>
      </c>
      <c r="B36" s="5"/>
      <c r="C36" s="9"/>
      <c r="D36" s="5"/>
      <c r="E36" s="9"/>
      <c r="F36" s="5"/>
      <c r="G36" s="9"/>
      <c r="H36" s="5"/>
      <c r="I36" s="9"/>
      <c r="J36" s="5"/>
      <c r="K36" s="9"/>
      <c r="L36" s="5"/>
      <c r="M36" s="9"/>
      <c r="N36" s="5"/>
      <c r="O36" s="9"/>
      <c r="P36" s="5"/>
      <c r="Q36" s="9"/>
      <c r="R36" s="5"/>
      <c r="S36" s="9"/>
      <c r="T36" s="5"/>
      <c r="U36" s="9"/>
      <c r="V36" s="5"/>
      <c r="W36" s="9"/>
      <c r="X36" s="5"/>
      <c r="Y36" s="9"/>
      <c r="Z36" s="5"/>
      <c r="AA36" s="5"/>
      <c r="AB36" s="10"/>
    </row>
    <row r="37" spans="1:28">
      <c r="A37" s="3" t="s">
        <v>40</v>
      </c>
      <c r="B37" s="5">
        <f t="shared" si="1"/>
        <v>0</v>
      </c>
      <c r="C37" s="9">
        <v>0.87012987012987009</v>
      </c>
      <c r="D37" s="5">
        <f t="shared" si="2"/>
        <v>0</v>
      </c>
      <c r="E37" s="9">
        <v>0.12987012987012986</v>
      </c>
      <c r="F37" s="5">
        <f t="shared" si="3"/>
        <v>0</v>
      </c>
      <c r="G37" s="9">
        <v>0</v>
      </c>
      <c r="H37" s="5">
        <f t="shared" si="0"/>
        <v>0</v>
      </c>
      <c r="I37" s="9">
        <v>0</v>
      </c>
      <c r="J37" s="5">
        <f t="shared" si="4"/>
        <v>0</v>
      </c>
      <c r="K37" s="9">
        <v>0</v>
      </c>
      <c r="L37" s="5">
        <f t="shared" si="5"/>
        <v>0</v>
      </c>
      <c r="M37" s="9">
        <v>0</v>
      </c>
      <c r="N37" s="5">
        <f t="shared" si="6"/>
        <v>0</v>
      </c>
      <c r="O37" s="9">
        <v>0</v>
      </c>
      <c r="P37" s="5">
        <f t="shared" si="7"/>
        <v>0</v>
      </c>
      <c r="Q37" s="9">
        <v>0</v>
      </c>
      <c r="R37" s="5">
        <f t="shared" si="8"/>
        <v>0</v>
      </c>
      <c r="S37" s="9">
        <v>0</v>
      </c>
      <c r="T37" s="5">
        <f t="shared" si="9"/>
        <v>0</v>
      </c>
      <c r="U37" s="9">
        <v>0</v>
      </c>
      <c r="V37" s="5">
        <f t="shared" si="10"/>
        <v>0</v>
      </c>
      <c r="W37" s="9">
        <v>0</v>
      </c>
      <c r="X37" s="5">
        <f t="shared" si="11"/>
        <v>0</v>
      </c>
      <c r="Y37" s="9">
        <v>0</v>
      </c>
      <c r="Z37" s="5">
        <v>0</v>
      </c>
      <c r="AA37" s="5">
        <f t="shared" si="12"/>
        <v>0</v>
      </c>
      <c r="AB37" s="10">
        <f>C37+E37+G37+I37+K37+M37+O37+Q37+S37+U37+W37+Y37</f>
        <v>1</v>
      </c>
    </row>
    <row r="38" spans="1:28">
      <c r="A38" s="3" t="s">
        <v>41</v>
      </c>
      <c r="B38" s="5">
        <f t="shared" si="1"/>
        <v>0</v>
      </c>
      <c r="C38" s="9">
        <v>0</v>
      </c>
      <c r="D38" s="5">
        <f t="shared" si="2"/>
        <v>-58.818762513108972</v>
      </c>
      <c r="E38" s="9">
        <v>0.39212508342072649</v>
      </c>
      <c r="F38" s="5">
        <f t="shared" si="3"/>
        <v>0</v>
      </c>
      <c r="G38" s="9">
        <v>0</v>
      </c>
      <c r="H38" s="5">
        <f t="shared" si="0"/>
        <v>-91.181237486891021</v>
      </c>
      <c r="I38" s="9">
        <v>0.60787491657927351</v>
      </c>
      <c r="J38" s="5">
        <f t="shared" si="4"/>
        <v>0</v>
      </c>
      <c r="K38" s="9">
        <v>0</v>
      </c>
      <c r="L38" s="5">
        <f t="shared" si="5"/>
        <v>0</v>
      </c>
      <c r="M38" s="9">
        <v>0</v>
      </c>
      <c r="N38" s="5">
        <f t="shared" si="6"/>
        <v>0</v>
      </c>
      <c r="O38" s="9">
        <v>0</v>
      </c>
      <c r="P38" s="5">
        <f t="shared" si="7"/>
        <v>0</v>
      </c>
      <c r="Q38" s="9">
        <v>0</v>
      </c>
      <c r="R38" s="5">
        <f t="shared" si="8"/>
        <v>0</v>
      </c>
      <c r="S38" s="9">
        <v>0</v>
      </c>
      <c r="T38" s="5">
        <f t="shared" si="9"/>
        <v>0</v>
      </c>
      <c r="U38" s="9">
        <v>0</v>
      </c>
      <c r="V38" s="5">
        <f t="shared" si="10"/>
        <v>0</v>
      </c>
      <c r="W38" s="9">
        <v>0</v>
      </c>
      <c r="X38" s="5">
        <f t="shared" si="11"/>
        <v>0</v>
      </c>
      <c r="Y38" s="9">
        <v>0</v>
      </c>
      <c r="Z38" s="5">
        <v>-150</v>
      </c>
      <c r="AA38" s="5">
        <f t="shared" si="12"/>
        <v>-150</v>
      </c>
      <c r="AB38" s="10">
        <f>C38+E38+G38+I38+K38+M38+O38+Q38+S38+U38+W38+Y38</f>
        <v>1</v>
      </c>
    </row>
    <row r="39" spans="1:28">
      <c r="A39" s="3" t="s">
        <v>42</v>
      </c>
      <c r="B39" s="6">
        <f t="shared" si="1"/>
        <v>360.34420939404799</v>
      </c>
      <c r="C39" s="9">
        <v>-2.4022947292936534</v>
      </c>
      <c r="D39" s="6">
        <f t="shared" si="2"/>
        <v>-167.42560057368235</v>
      </c>
      <c r="E39" s="9">
        <v>1.1161706704912155</v>
      </c>
      <c r="F39" s="6">
        <f t="shared" si="3"/>
        <v>0</v>
      </c>
      <c r="G39" s="9">
        <v>0</v>
      </c>
      <c r="H39" s="6">
        <f t="shared" si="0"/>
        <v>-342.91860882036571</v>
      </c>
      <c r="I39" s="9">
        <v>2.2861240588024381</v>
      </c>
      <c r="J39" s="6">
        <f t="shared" si="4"/>
        <v>0</v>
      </c>
      <c r="K39" s="9">
        <v>0</v>
      </c>
      <c r="L39" s="6">
        <f t="shared" si="5"/>
        <v>0</v>
      </c>
      <c r="M39" s="9">
        <v>0</v>
      </c>
      <c r="N39" s="6">
        <f t="shared" si="6"/>
        <v>0</v>
      </c>
      <c r="O39" s="9">
        <v>0</v>
      </c>
      <c r="P39" s="6">
        <f t="shared" si="7"/>
        <v>0</v>
      </c>
      <c r="Q39" s="9">
        <v>0</v>
      </c>
      <c r="R39" s="6">
        <f t="shared" si="8"/>
        <v>0</v>
      </c>
      <c r="S39" s="9">
        <v>0</v>
      </c>
      <c r="T39" s="6">
        <f t="shared" si="9"/>
        <v>0</v>
      </c>
      <c r="U39" s="9">
        <v>0</v>
      </c>
      <c r="V39" s="6">
        <f t="shared" si="10"/>
        <v>0</v>
      </c>
      <c r="W39" s="9">
        <v>0</v>
      </c>
      <c r="X39" s="6">
        <f t="shared" si="11"/>
        <v>0</v>
      </c>
      <c r="Y39" s="9">
        <v>0</v>
      </c>
      <c r="Z39" s="6">
        <f>SUM(Z37:Z38)</f>
        <v>-150</v>
      </c>
      <c r="AA39" s="6">
        <f t="shared" si="12"/>
        <v>-150.00000000000006</v>
      </c>
      <c r="AB39" s="10">
        <f>C39+E39+G39+I39+K39+M39+O39+Q39+S39+U39+W39+Y39</f>
        <v>1.0000000000000002</v>
      </c>
    </row>
    <row r="40" spans="1:28">
      <c r="A40" s="3" t="s">
        <v>43</v>
      </c>
      <c r="B40" s="5"/>
      <c r="C40" s="9"/>
      <c r="D40" s="5"/>
      <c r="E40" s="9"/>
      <c r="F40" s="5"/>
      <c r="G40" s="9"/>
      <c r="H40" s="5"/>
      <c r="I40" s="9"/>
      <c r="J40" s="5"/>
      <c r="K40" s="9"/>
      <c r="L40" s="5"/>
      <c r="M40" s="9"/>
      <c r="N40" s="5"/>
      <c r="O40" s="9"/>
      <c r="P40" s="5"/>
      <c r="Q40" s="9"/>
      <c r="R40" s="5"/>
      <c r="S40" s="9"/>
      <c r="T40" s="5"/>
      <c r="U40" s="9"/>
      <c r="V40" s="5"/>
      <c r="W40" s="9"/>
      <c r="X40" s="5"/>
      <c r="Y40" s="9"/>
      <c r="Z40" s="5"/>
      <c r="AA40" s="5"/>
      <c r="AB40" s="10"/>
    </row>
    <row r="41" spans="1:28">
      <c r="A41" s="3" t="s">
        <v>44</v>
      </c>
      <c r="B41" s="5">
        <f t="shared" si="1"/>
        <v>0</v>
      </c>
      <c r="C41" s="9">
        <v>0</v>
      </c>
      <c r="D41" s="5">
        <f t="shared" si="2"/>
        <v>0</v>
      </c>
      <c r="E41" s="9">
        <v>0</v>
      </c>
      <c r="F41" s="5">
        <f t="shared" si="3"/>
        <v>979.32535364526666</v>
      </c>
      <c r="G41" s="9">
        <v>0.32644178454842221</v>
      </c>
      <c r="H41" s="5">
        <f t="shared" si="0"/>
        <v>388.46572361262241</v>
      </c>
      <c r="I41" s="9">
        <v>0.12948857453754081</v>
      </c>
      <c r="J41" s="5">
        <f t="shared" si="4"/>
        <v>544.069640914037</v>
      </c>
      <c r="K41" s="9">
        <v>0.18135654697134568</v>
      </c>
      <c r="L41" s="5">
        <f t="shared" si="5"/>
        <v>272.0348204570185</v>
      </c>
      <c r="M41" s="9">
        <v>9.0678273485672839E-2</v>
      </c>
      <c r="N41" s="5">
        <f t="shared" si="6"/>
        <v>272.0348204570185</v>
      </c>
      <c r="O41" s="9">
        <v>9.0678273485672839E-2</v>
      </c>
      <c r="P41" s="5">
        <f t="shared" si="7"/>
        <v>544.069640914037</v>
      </c>
      <c r="Q41" s="9">
        <v>0.18135654697134568</v>
      </c>
      <c r="R41" s="5">
        <f t="shared" si="8"/>
        <v>0</v>
      </c>
      <c r="S41" s="9">
        <v>0</v>
      </c>
      <c r="T41" s="5">
        <f t="shared" si="9"/>
        <v>0</v>
      </c>
      <c r="U41" s="9">
        <v>0</v>
      </c>
      <c r="V41" s="5">
        <f t="shared" si="10"/>
        <v>0</v>
      </c>
      <c r="W41" s="9">
        <v>0</v>
      </c>
      <c r="X41" s="5">
        <f t="shared" si="11"/>
        <v>0</v>
      </c>
      <c r="Y41" s="9">
        <v>0</v>
      </c>
      <c r="Z41" s="5">
        <v>3000</v>
      </c>
      <c r="AA41" s="5">
        <f t="shared" si="12"/>
        <v>3000.0000000000005</v>
      </c>
      <c r="AB41" s="10">
        <f>C41+E41+G41+I41+K41+M41+O41+Q41+S41+U41+W41+Y41</f>
        <v>1</v>
      </c>
    </row>
    <row r="42" spans="1:28">
      <c r="A42" s="3" t="s">
        <v>45</v>
      </c>
      <c r="B42" s="5">
        <f t="shared" si="1"/>
        <v>-72.71604845327451</v>
      </c>
      <c r="C42" s="9">
        <v>6.0596707044395424E-2</v>
      </c>
      <c r="D42" s="5">
        <f t="shared" si="2"/>
        <v>0</v>
      </c>
      <c r="E42" s="9">
        <v>0</v>
      </c>
      <c r="F42" s="5">
        <f t="shared" si="3"/>
        <v>-954.91195446777442</v>
      </c>
      <c r="G42" s="9">
        <v>0.7957599620564787</v>
      </c>
      <c r="H42" s="5">
        <f t="shared" si="0"/>
        <v>0</v>
      </c>
      <c r="I42" s="9">
        <v>0</v>
      </c>
      <c r="J42" s="5">
        <f t="shared" si="4"/>
        <v>0</v>
      </c>
      <c r="K42" s="9">
        <v>0</v>
      </c>
      <c r="L42" s="5">
        <f t="shared" si="5"/>
        <v>0</v>
      </c>
      <c r="M42" s="9">
        <v>0</v>
      </c>
      <c r="N42" s="5">
        <f t="shared" si="6"/>
        <v>0</v>
      </c>
      <c r="O42" s="9">
        <v>0</v>
      </c>
      <c r="P42" s="5">
        <f t="shared" si="7"/>
        <v>0</v>
      </c>
      <c r="Q42" s="9">
        <v>0</v>
      </c>
      <c r="R42" s="5">
        <f t="shared" si="8"/>
        <v>0</v>
      </c>
      <c r="S42" s="9">
        <v>0</v>
      </c>
      <c r="T42" s="5">
        <f t="shared" si="9"/>
        <v>0</v>
      </c>
      <c r="U42" s="9">
        <v>0</v>
      </c>
      <c r="V42" s="5">
        <f t="shared" si="10"/>
        <v>0</v>
      </c>
      <c r="W42" s="9">
        <v>0</v>
      </c>
      <c r="X42" s="5">
        <f t="shared" si="11"/>
        <v>-172.37199707895115</v>
      </c>
      <c r="Y42" s="9">
        <v>0.14364333089912595</v>
      </c>
      <c r="Z42" s="5">
        <v>-1200</v>
      </c>
      <c r="AA42" s="5">
        <f t="shared" si="12"/>
        <v>-1200</v>
      </c>
      <c r="AB42" s="10">
        <f>C42+E42+G42+I42+K42+M42+O42+Q42+S42+U42+W42+Y42</f>
        <v>1</v>
      </c>
    </row>
    <row r="43" spans="1:28">
      <c r="A43" s="3" t="s">
        <v>46</v>
      </c>
      <c r="B43" s="6">
        <f t="shared" si="1"/>
        <v>-101.40756346634376</v>
      </c>
      <c r="C43" s="9">
        <v>-5.6337535259079863E-2</v>
      </c>
      <c r="D43" s="6">
        <f t="shared" si="2"/>
        <v>0</v>
      </c>
      <c r="E43" s="9">
        <v>0</v>
      </c>
      <c r="F43" s="6">
        <f t="shared" si="3"/>
        <v>-197.80081332110785</v>
      </c>
      <c r="G43" s="9">
        <v>-0.10988934073394881</v>
      </c>
      <c r="H43" s="6">
        <f t="shared" si="0"/>
        <v>449.77637169194583</v>
      </c>
      <c r="I43" s="9">
        <v>0.24987576205108103</v>
      </c>
      <c r="J43" s="6">
        <f t="shared" si="4"/>
        <v>629.93889592709502</v>
      </c>
      <c r="K43" s="9">
        <v>0.34996605329283059</v>
      </c>
      <c r="L43" s="6">
        <f t="shared" si="5"/>
        <v>314.96944796354751</v>
      </c>
      <c r="M43" s="9">
        <v>0.1749830266464153</v>
      </c>
      <c r="N43" s="6">
        <f t="shared" si="6"/>
        <v>314.96944796354751</v>
      </c>
      <c r="O43" s="9">
        <v>0.1749830266464153</v>
      </c>
      <c r="P43" s="6">
        <f t="shared" si="7"/>
        <v>629.93889592709502</v>
      </c>
      <c r="Q43" s="9">
        <v>0.34996605329283059</v>
      </c>
      <c r="R43" s="6">
        <f t="shared" si="8"/>
        <v>0</v>
      </c>
      <c r="S43" s="9">
        <v>0</v>
      </c>
      <c r="T43" s="6">
        <f t="shared" si="9"/>
        <v>0</v>
      </c>
      <c r="U43" s="9">
        <v>0</v>
      </c>
      <c r="V43" s="6">
        <f t="shared" si="10"/>
        <v>0</v>
      </c>
      <c r="W43" s="9">
        <v>0</v>
      </c>
      <c r="X43" s="6">
        <f t="shared" si="11"/>
        <v>-240.38468268577947</v>
      </c>
      <c r="Y43" s="9">
        <v>-0.13354704593654415</v>
      </c>
      <c r="Z43" s="6">
        <f>SUM(Z41:Z42)</f>
        <v>1800</v>
      </c>
      <c r="AA43" s="6">
        <f t="shared" si="12"/>
        <v>1800</v>
      </c>
      <c r="AB43" s="10">
        <f>C43+E43+G43+I43+K43+M43+O43+Q43+S43+U43+W43+Y43</f>
        <v>0.99999999999999978</v>
      </c>
    </row>
    <row r="44" spans="1:28">
      <c r="A44" s="3" t="s">
        <v>47</v>
      </c>
      <c r="B44" s="5"/>
      <c r="C44" s="9"/>
      <c r="D44" s="5" t="e">
        <f t="shared" si="2"/>
        <v>#DIV/0!</v>
      </c>
      <c r="E44" s="9" t="e">
        <v>#DIV/0!</v>
      </c>
      <c r="F44" s="5"/>
      <c r="G44" s="9"/>
      <c r="H44" s="5"/>
      <c r="I44" s="9"/>
      <c r="J44" s="5"/>
      <c r="K44" s="9"/>
      <c r="L44" s="5"/>
      <c r="M44" s="9"/>
      <c r="N44" s="5"/>
      <c r="O44" s="9"/>
      <c r="P44" s="5"/>
      <c r="Q44" s="9"/>
      <c r="R44" s="5"/>
      <c r="S44" s="9"/>
      <c r="T44" s="5"/>
      <c r="U44" s="9"/>
      <c r="V44" s="5"/>
      <c r="W44" s="9"/>
      <c r="X44" s="5"/>
      <c r="Y44" s="9"/>
      <c r="Z44" s="5"/>
      <c r="AA44" s="5"/>
      <c r="AB44" s="10"/>
    </row>
    <row r="45" spans="1:28">
      <c r="A45" s="3" t="s">
        <v>48</v>
      </c>
      <c r="B45" s="5">
        <f t="shared" si="1"/>
        <v>0</v>
      </c>
      <c r="C45" s="9">
        <v>0</v>
      </c>
      <c r="D45" s="5">
        <f t="shared" si="2"/>
        <v>0</v>
      </c>
      <c r="E45" s="9">
        <v>0</v>
      </c>
      <c r="F45" s="5">
        <f t="shared" si="3"/>
        <v>0</v>
      </c>
      <c r="G45" s="9">
        <v>0</v>
      </c>
      <c r="H45" s="5">
        <f t="shared" si="0"/>
        <v>0</v>
      </c>
      <c r="I45" s="9">
        <v>0</v>
      </c>
      <c r="J45" s="5">
        <f t="shared" si="4"/>
        <v>-64.432563523121871</v>
      </c>
      <c r="K45" s="9">
        <v>0.32216281761560933</v>
      </c>
      <c r="L45" s="5">
        <f t="shared" si="5"/>
        <v>0</v>
      </c>
      <c r="M45" s="9">
        <v>0</v>
      </c>
      <c r="N45" s="5">
        <f t="shared" si="6"/>
        <v>-55.117676238769775</v>
      </c>
      <c r="O45" s="9">
        <v>0.27558838119384887</v>
      </c>
      <c r="P45" s="5">
        <f t="shared" si="7"/>
        <v>-25.33208399933859</v>
      </c>
      <c r="Q45" s="9">
        <v>0.12666041999669295</v>
      </c>
      <c r="R45" s="5">
        <f t="shared" si="8"/>
        <v>0</v>
      </c>
      <c r="S45" s="9">
        <v>0</v>
      </c>
      <c r="T45" s="5">
        <f t="shared" si="9"/>
        <v>-55.117676238769775</v>
      </c>
      <c r="U45" s="9">
        <v>0.27558838119384887</v>
      </c>
      <c r="V45" s="5">
        <f t="shared" si="10"/>
        <v>0</v>
      </c>
      <c r="W45" s="9">
        <v>0</v>
      </c>
      <c r="X45" s="5">
        <f t="shared" si="11"/>
        <v>0</v>
      </c>
      <c r="Y45" s="9">
        <v>0</v>
      </c>
      <c r="Z45" s="5">
        <v>-200</v>
      </c>
      <c r="AA45" s="5">
        <f t="shared" si="12"/>
        <v>-200</v>
      </c>
      <c r="AB45" s="10">
        <f>C45+E45+G45+I45+K45+M45+O45+Q45+S45+U45+W45+Y45</f>
        <v>1</v>
      </c>
    </row>
    <row r="46" spans="1:28">
      <c r="A46" s="3" t="s">
        <v>49</v>
      </c>
      <c r="B46" s="6">
        <f t="shared" si="1"/>
        <v>0</v>
      </c>
      <c r="C46" s="9">
        <v>0</v>
      </c>
      <c r="D46" s="6">
        <f t="shared" si="2"/>
        <v>0</v>
      </c>
      <c r="E46" s="9">
        <v>0</v>
      </c>
      <c r="F46" s="6">
        <f t="shared" si="3"/>
        <v>0</v>
      </c>
      <c r="G46" s="9">
        <v>0</v>
      </c>
      <c r="H46" s="6">
        <f t="shared" si="0"/>
        <v>0</v>
      </c>
      <c r="I46" s="9">
        <v>0</v>
      </c>
      <c r="J46" s="6">
        <f t="shared" si="4"/>
        <v>-64.432563523121871</v>
      </c>
      <c r="K46" s="9">
        <v>0.32216281761560933</v>
      </c>
      <c r="L46" s="6">
        <f t="shared" si="5"/>
        <v>0</v>
      </c>
      <c r="M46" s="9">
        <v>0</v>
      </c>
      <c r="N46" s="6">
        <f t="shared" si="6"/>
        <v>-55.117676238769775</v>
      </c>
      <c r="O46" s="9">
        <v>0.27558838119384887</v>
      </c>
      <c r="P46" s="6">
        <f t="shared" si="7"/>
        <v>-25.33208399933859</v>
      </c>
      <c r="Q46" s="9">
        <v>0.12666041999669295</v>
      </c>
      <c r="R46" s="6">
        <f t="shared" si="8"/>
        <v>0</v>
      </c>
      <c r="S46" s="9">
        <v>0</v>
      </c>
      <c r="T46" s="6">
        <f t="shared" si="9"/>
        <v>-55.117676238769775</v>
      </c>
      <c r="U46" s="9">
        <v>0.27558838119384887</v>
      </c>
      <c r="V46" s="6">
        <f t="shared" si="10"/>
        <v>0</v>
      </c>
      <c r="W46" s="9">
        <v>0</v>
      </c>
      <c r="X46" s="6">
        <f t="shared" si="11"/>
        <v>0</v>
      </c>
      <c r="Y46" s="9">
        <v>0</v>
      </c>
      <c r="Z46" s="6">
        <f>SUM(Z45)</f>
        <v>-200</v>
      </c>
      <c r="AA46" s="6">
        <f t="shared" si="12"/>
        <v>-200</v>
      </c>
      <c r="AB46" s="10">
        <f>C46+E46+G46+I46+K46+M46+O46+Q46+S46+U46+W46+Y46</f>
        <v>1</v>
      </c>
    </row>
    <row r="47" spans="1:28">
      <c r="A47" s="3" t="s">
        <v>50</v>
      </c>
      <c r="B47" s="6">
        <f t="shared" si="1"/>
        <v>4576.2847548426553</v>
      </c>
      <c r="C47" s="9">
        <v>0.17176163531383604</v>
      </c>
      <c r="D47" s="6">
        <f t="shared" si="2"/>
        <v>2202.2735852051514</v>
      </c>
      <c r="E47" s="9">
        <v>8.2657905411811991E-2</v>
      </c>
      <c r="F47" s="6">
        <f t="shared" si="3"/>
        <v>5817.6712171960889</v>
      </c>
      <c r="G47" s="9">
        <v>0.21835457702373506</v>
      </c>
      <c r="H47" s="6">
        <f t="shared" si="0"/>
        <v>-7939.9880074371331</v>
      </c>
      <c r="I47" s="9">
        <v>-0.29801146510528692</v>
      </c>
      <c r="J47" s="6">
        <f t="shared" si="4"/>
        <v>11471.696451018077</v>
      </c>
      <c r="K47" s="9">
        <v>0.43056703151299885</v>
      </c>
      <c r="L47" s="6">
        <f t="shared" si="5"/>
        <v>2338.6816438902079</v>
      </c>
      <c r="M47" s="9">
        <v>8.7777707278367076E-2</v>
      </c>
      <c r="N47" s="6">
        <f t="shared" si="6"/>
        <v>7283.5996089160044</v>
      </c>
      <c r="O47" s="9">
        <v>0.27337524800544094</v>
      </c>
      <c r="P47" s="6">
        <f t="shared" si="7"/>
        <v>4266.1542001980479</v>
      </c>
      <c r="Q47" s="9">
        <v>0.16012150929891186</v>
      </c>
      <c r="R47" s="6">
        <f t="shared" si="8"/>
        <v>3869.2383750483882</v>
      </c>
      <c r="S47" s="9">
        <v>0.14522407287135938</v>
      </c>
      <c r="T47" s="6">
        <f t="shared" si="9"/>
        <v>-1988.3590051158806</v>
      </c>
      <c r="U47" s="9">
        <v>-7.462905230018585E-2</v>
      </c>
      <c r="V47" s="6">
        <f t="shared" si="10"/>
        <v>10740.546217367188</v>
      </c>
      <c r="W47" s="9">
        <v>0.40312477944180147</v>
      </c>
      <c r="X47" s="6">
        <f t="shared" si="11"/>
        <v>-15994.569041128801</v>
      </c>
      <c r="Y47" s="9">
        <v>-0.60032394875279016</v>
      </c>
      <c r="Z47" s="6">
        <f>Z17+Z22+Z30+Z35+Z39+Z43+Z46</f>
        <v>26643.23</v>
      </c>
      <c r="AA47" s="6">
        <f t="shared" si="12"/>
        <v>26643.229999999996</v>
      </c>
      <c r="AB47" s="10">
        <f>C47+E47+G47+I47+K47+M47+O47+Q47+S47+U47+W47+Y47</f>
        <v>0.99999999999999989</v>
      </c>
    </row>
    <row r="48" spans="1:28">
      <c r="A48" s="3" t="s">
        <v>51</v>
      </c>
      <c r="B48" s="5"/>
      <c r="C48" s="9"/>
      <c r="D48" s="5"/>
      <c r="E48" s="9"/>
      <c r="F48" s="5"/>
      <c r="G48" s="9"/>
      <c r="H48" s="5"/>
      <c r="I48" s="9"/>
      <c r="J48" s="5"/>
      <c r="K48" s="9"/>
      <c r="L48" s="5"/>
      <c r="M48" s="9"/>
      <c r="N48" s="5"/>
      <c r="O48" s="9"/>
      <c r="P48" s="5"/>
      <c r="Q48" s="9"/>
      <c r="R48" s="5"/>
      <c r="S48" s="9"/>
      <c r="T48" s="5"/>
      <c r="U48" s="9"/>
      <c r="V48" s="5"/>
      <c r="W48" s="9"/>
      <c r="X48" s="5"/>
      <c r="Y48" s="9"/>
      <c r="Z48" s="5"/>
      <c r="AA48" s="5"/>
      <c r="AB48" s="10"/>
    </row>
    <row r="49" spans="1:28">
      <c r="A49" s="3" t="s">
        <v>52</v>
      </c>
      <c r="B49" s="5">
        <f t="shared" si="1"/>
        <v>11115.05487904767</v>
      </c>
      <c r="C49" s="9">
        <v>0.19330530224430731</v>
      </c>
      <c r="D49" s="5">
        <f t="shared" si="2"/>
        <v>4890.3101621798723</v>
      </c>
      <c r="E49" s="9">
        <v>8.5048872385736912E-2</v>
      </c>
      <c r="F49" s="5">
        <f t="shared" si="3"/>
        <v>7849.6150275760392</v>
      </c>
      <c r="G49" s="9">
        <v>0.13651504395784417</v>
      </c>
      <c r="H49" s="5">
        <f t="shared" si="0"/>
        <v>-7849.6150275760392</v>
      </c>
      <c r="I49" s="9">
        <v>-0.13651504395784417</v>
      </c>
      <c r="J49" s="5">
        <f t="shared" si="4"/>
        <v>0</v>
      </c>
      <c r="K49" s="9">
        <v>0</v>
      </c>
      <c r="L49" s="5">
        <f t="shared" si="5"/>
        <v>11774.422541364058</v>
      </c>
      <c r="M49" s="9">
        <v>0.20477256593676624</v>
      </c>
      <c r="N49" s="5">
        <f t="shared" si="6"/>
        <v>17112.160760115763</v>
      </c>
      <c r="O49" s="9">
        <v>0.29760279582810023</v>
      </c>
      <c r="P49" s="5">
        <f t="shared" si="7"/>
        <v>12608.051657292634</v>
      </c>
      <c r="Q49" s="9">
        <v>0.21927046360508928</v>
      </c>
      <c r="R49" s="5">
        <f t="shared" si="8"/>
        <v>0</v>
      </c>
      <c r="S49" s="9">
        <v>0</v>
      </c>
      <c r="T49" s="5">
        <f t="shared" si="9"/>
        <v>0</v>
      </c>
      <c r="U49" s="9">
        <v>0</v>
      </c>
      <c r="V49" s="5">
        <f t="shared" si="10"/>
        <v>0</v>
      </c>
      <c r="W49" s="9">
        <v>0</v>
      </c>
      <c r="X49" s="5">
        <f t="shared" si="11"/>
        <v>0</v>
      </c>
      <c r="Y49" s="9">
        <v>0</v>
      </c>
      <c r="Z49" s="5">
        <v>57500</v>
      </c>
      <c r="AA49" s="5">
        <f t="shared" si="12"/>
        <v>57500</v>
      </c>
      <c r="AB49" s="10">
        <f>C49+E49+G49+I49+K49+M49+O49+Q49+S49+U49+W49+Y49</f>
        <v>1</v>
      </c>
    </row>
    <row r="50" spans="1:28">
      <c r="A50" s="3" t="s">
        <v>53</v>
      </c>
      <c r="B50" s="5">
        <f t="shared" si="1"/>
        <v>0</v>
      </c>
      <c r="C50" s="9">
        <v>0</v>
      </c>
      <c r="D50" s="5">
        <f t="shared" si="2"/>
        <v>0</v>
      </c>
      <c r="E50" s="9">
        <v>0</v>
      </c>
      <c r="F50" s="5">
        <f t="shared" si="3"/>
        <v>0</v>
      </c>
      <c r="G50" s="9">
        <v>1</v>
      </c>
      <c r="H50" s="5">
        <f t="shared" si="0"/>
        <v>0</v>
      </c>
      <c r="I50" s="9">
        <v>0</v>
      </c>
      <c r="J50" s="5">
        <f t="shared" si="4"/>
        <v>0</v>
      </c>
      <c r="K50" s="9">
        <v>0</v>
      </c>
      <c r="L50" s="5">
        <f t="shared" si="5"/>
        <v>0</v>
      </c>
      <c r="M50" s="9">
        <v>0</v>
      </c>
      <c r="N50" s="5">
        <f t="shared" si="6"/>
        <v>0</v>
      </c>
      <c r="O50" s="9">
        <v>0</v>
      </c>
      <c r="P50" s="5">
        <f t="shared" si="7"/>
        <v>0</v>
      </c>
      <c r="Q50" s="9">
        <v>0</v>
      </c>
      <c r="R50" s="5">
        <f t="shared" si="8"/>
        <v>0</v>
      </c>
      <c r="S50" s="9">
        <v>0</v>
      </c>
      <c r="T50" s="5">
        <f t="shared" si="9"/>
        <v>0</v>
      </c>
      <c r="U50" s="9">
        <v>0</v>
      </c>
      <c r="V50" s="5">
        <f t="shared" si="10"/>
        <v>0</v>
      </c>
      <c r="W50" s="9">
        <v>0</v>
      </c>
      <c r="X50" s="5">
        <f t="shared" si="11"/>
        <v>0</v>
      </c>
      <c r="Y50" s="9">
        <v>0</v>
      </c>
      <c r="Z50" s="5"/>
      <c r="AA50" s="5">
        <f t="shared" si="12"/>
        <v>0</v>
      </c>
      <c r="AB50" s="10">
        <f>C50+E50+G50+I50+K50+M50+O50+Q50+S50+U50+W50+Y50</f>
        <v>1</v>
      </c>
    </row>
    <row r="51" spans="1:28">
      <c r="A51" s="3" t="s">
        <v>54</v>
      </c>
      <c r="B51" s="6">
        <f t="shared" si="1"/>
        <v>11791.113943115333</v>
      </c>
      <c r="C51" s="9">
        <v>0.20506285118461448</v>
      </c>
      <c r="D51" s="6">
        <f t="shared" si="2"/>
        <v>5187.7570526559693</v>
      </c>
      <c r="E51" s="9">
        <v>9.0221861785321211E-2</v>
      </c>
      <c r="F51" s="6">
        <f t="shared" si="3"/>
        <v>4829.6935642704047</v>
      </c>
      <c r="G51" s="9">
        <v>8.3994670682963568E-2</v>
      </c>
      <c r="H51" s="6">
        <f t="shared" si="0"/>
        <v>-8327.0578694317319</v>
      </c>
      <c r="I51" s="9">
        <v>-0.14481839772924751</v>
      </c>
      <c r="J51" s="6">
        <f t="shared" si="4"/>
        <v>0</v>
      </c>
      <c r="K51" s="9">
        <v>0</v>
      </c>
      <c r="L51" s="6">
        <f t="shared" si="5"/>
        <v>12490.586804147599</v>
      </c>
      <c r="M51" s="9">
        <v>0.21722759659387128</v>
      </c>
      <c r="N51" s="6">
        <f t="shared" si="6"/>
        <v>18152.986155361177</v>
      </c>
      <c r="O51" s="9">
        <v>0.3157041070497596</v>
      </c>
      <c r="P51" s="6">
        <f t="shared" si="7"/>
        <v>13374.920349881249</v>
      </c>
      <c r="Q51" s="9">
        <v>0.23260731043271737</v>
      </c>
      <c r="R51" s="6">
        <f t="shared" si="8"/>
        <v>0</v>
      </c>
      <c r="S51" s="9">
        <v>0</v>
      </c>
      <c r="T51" s="6">
        <f t="shared" si="9"/>
        <v>0</v>
      </c>
      <c r="U51" s="9">
        <v>0</v>
      </c>
      <c r="V51" s="6">
        <f t="shared" si="10"/>
        <v>0</v>
      </c>
      <c r="W51" s="9">
        <v>0</v>
      </c>
      <c r="X51" s="6">
        <f t="shared" si="11"/>
        <v>0</v>
      </c>
      <c r="Y51" s="9">
        <v>0</v>
      </c>
      <c r="Z51" s="6">
        <f>SUM(Z49:Z50)</f>
        <v>57500</v>
      </c>
      <c r="AA51" s="6">
        <f t="shared" si="12"/>
        <v>57500</v>
      </c>
      <c r="AB51" s="10">
        <f>C51+E51+G51+I51+K51+M51+O51+Q51+S51+U51+W51+Y51</f>
        <v>1</v>
      </c>
    </row>
    <row r="52" spans="1:28">
      <c r="A52" s="3" t="s">
        <v>132</v>
      </c>
      <c r="B52" s="5">
        <f t="shared" si="1"/>
        <v>0</v>
      </c>
      <c r="C52" s="9">
        <v>0</v>
      </c>
      <c r="D52" s="5">
        <f t="shared" si="2"/>
        <v>162.16216216216216</v>
      </c>
      <c r="E52" s="9">
        <v>0.16216216216216217</v>
      </c>
      <c r="F52" s="5">
        <f t="shared" si="3"/>
        <v>0</v>
      </c>
      <c r="G52" s="9">
        <v>0</v>
      </c>
      <c r="H52" s="5">
        <f t="shared" si="0"/>
        <v>675.67567567567562</v>
      </c>
      <c r="I52" s="9">
        <v>0.67567567567567566</v>
      </c>
      <c r="J52" s="5">
        <f t="shared" si="4"/>
        <v>0</v>
      </c>
      <c r="K52" s="9">
        <v>0</v>
      </c>
      <c r="L52" s="5">
        <f t="shared" si="5"/>
        <v>162.16216216216216</v>
      </c>
      <c r="M52" s="9">
        <v>0.16216216216216217</v>
      </c>
      <c r="N52" s="5">
        <f t="shared" si="6"/>
        <v>0</v>
      </c>
      <c r="O52" s="9">
        <v>0</v>
      </c>
      <c r="P52" s="5">
        <f t="shared" si="7"/>
        <v>0</v>
      </c>
      <c r="Q52" s="9">
        <v>0</v>
      </c>
      <c r="R52" s="5">
        <f t="shared" si="8"/>
        <v>0</v>
      </c>
      <c r="S52" s="9">
        <v>0</v>
      </c>
      <c r="T52" s="5">
        <f t="shared" si="9"/>
        <v>0</v>
      </c>
      <c r="U52" s="9">
        <v>0</v>
      </c>
      <c r="V52" s="5">
        <f t="shared" si="10"/>
        <v>0</v>
      </c>
      <c r="W52" s="9">
        <v>0</v>
      </c>
      <c r="X52" s="5">
        <f t="shared" si="11"/>
        <v>0</v>
      </c>
      <c r="Y52" s="9">
        <v>0</v>
      </c>
      <c r="Z52" s="5">
        <v>1000</v>
      </c>
      <c r="AA52" s="5">
        <f t="shared" si="12"/>
        <v>1000</v>
      </c>
      <c r="AB52" s="10">
        <f>C52+E52+G52+I52+K52+M52+O52+Q52+S52+U52+W52+Y52</f>
        <v>1</v>
      </c>
    </row>
    <row r="53" spans="1:28">
      <c r="A53" s="3" t="s">
        <v>56</v>
      </c>
      <c r="B53" s="5">
        <f t="shared" si="1"/>
        <v>776.46</v>
      </c>
      <c r="C53" s="9">
        <v>8.3333333333333329E-2</v>
      </c>
      <c r="D53" s="5">
        <f t="shared" si="2"/>
        <v>776.46</v>
      </c>
      <c r="E53" s="9">
        <v>8.3333333333333329E-2</v>
      </c>
      <c r="F53" s="5">
        <f t="shared" si="3"/>
        <v>776.46</v>
      </c>
      <c r="G53" s="9">
        <v>8.3333333333333329E-2</v>
      </c>
      <c r="H53" s="5">
        <f t="shared" si="0"/>
        <v>776.46</v>
      </c>
      <c r="I53" s="9">
        <v>8.3333333333333329E-2</v>
      </c>
      <c r="J53" s="5">
        <f t="shared" si="4"/>
        <v>776.46</v>
      </c>
      <c r="K53" s="9">
        <v>8.3333333333333329E-2</v>
      </c>
      <c r="L53" s="5">
        <f t="shared" si="5"/>
        <v>776.46</v>
      </c>
      <c r="M53" s="9">
        <v>8.3333333333333329E-2</v>
      </c>
      <c r="N53" s="5">
        <f t="shared" si="6"/>
        <v>776.46</v>
      </c>
      <c r="O53" s="9">
        <v>8.3333333333333329E-2</v>
      </c>
      <c r="P53" s="5">
        <f t="shared" si="7"/>
        <v>776.46</v>
      </c>
      <c r="Q53" s="9">
        <v>8.3333333333333329E-2</v>
      </c>
      <c r="R53" s="5">
        <f t="shared" si="8"/>
        <v>776.46</v>
      </c>
      <c r="S53" s="9">
        <v>8.3333333333333329E-2</v>
      </c>
      <c r="T53" s="5">
        <f t="shared" si="9"/>
        <v>776.46</v>
      </c>
      <c r="U53" s="9">
        <v>8.3333333333333329E-2</v>
      </c>
      <c r="V53" s="5">
        <f t="shared" si="10"/>
        <v>776.46</v>
      </c>
      <c r="W53" s="9">
        <v>8.3333333333333329E-2</v>
      </c>
      <c r="X53" s="5">
        <f t="shared" si="11"/>
        <v>776.46</v>
      </c>
      <c r="Y53" s="9">
        <v>8.3333333333333329E-2</v>
      </c>
      <c r="Z53" s="5">
        <v>9317.52</v>
      </c>
      <c r="AA53" s="5">
        <f t="shared" si="12"/>
        <v>9317.52</v>
      </c>
      <c r="AB53" s="10">
        <f>C53+E53+G53+I53+K53+M53+O53+Q53+S53+U53+W53+Y53</f>
        <v>1</v>
      </c>
    </row>
    <row r="54" spans="1:28">
      <c r="A54" s="3" t="s">
        <v>57</v>
      </c>
      <c r="B54" s="6">
        <f t="shared" si="1"/>
        <v>10642.649634662426</v>
      </c>
      <c r="C54" s="9">
        <v>0.15693068155046699</v>
      </c>
      <c r="D54" s="6">
        <f t="shared" si="2"/>
        <v>6124.4436381933529</v>
      </c>
      <c r="E54" s="9">
        <v>9.030769096530443E-2</v>
      </c>
      <c r="F54" s="6">
        <f t="shared" si="3"/>
        <v>5489.5524818000176</v>
      </c>
      <c r="G54" s="9">
        <v>8.0945933761659483E-2</v>
      </c>
      <c r="H54" s="6">
        <f t="shared" si="0"/>
        <v>-2708.5566250265406</v>
      </c>
      <c r="I54" s="9">
        <v>-3.9938892265988797E-2</v>
      </c>
      <c r="J54" s="6">
        <f t="shared" si="4"/>
        <v>1914.437232206481</v>
      </c>
      <c r="K54" s="9">
        <v>2.8229242712008357E-2</v>
      </c>
      <c r="L54" s="6">
        <f t="shared" si="5"/>
        <v>11530.264455251167</v>
      </c>
      <c r="M54" s="9">
        <v>0.17001896346624243</v>
      </c>
      <c r="N54" s="6">
        <f t="shared" si="6"/>
        <v>15351.939377230465</v>
      </c>
      <c r="O54" s="9">
        <v>0.22637128838138676</v>
      </c>
      <c r="P54" s="6">
        <f t="shared" si="7"/>
        <v>11815.040876856721</v>
      </c>
      <c r="Q54" s="9">
        <v>0.17421812058088706</v>
      </c>
      <c r="R54" s="6">
        <f t="shared" si="8"/>
        <v>1914.437232206481</v>
      </c>
      <c r="S54" s="9">
        <v>2.8229242712008357E-2</v>
      </c>
      <c r="T54" s="6">
        <f t="shared" si="9"/>
        <v>1914.437232206481</v>
      </c>
      <c r="U54" s="9">
        <v>2.8229242712008357E-2</v>
      </c>
      <c r="V54" s="6">
        <f t="shared" si="10"/>
        <v>1914.437232206481</v>
      </c>
      <c r="W54" s="9">
        <v>2.8229242712008357E-2</v>
      </c>
      <c r="X54" s="6">
        <f t="shared" si="11"/>
        <v>1914.437232206481</v>
      </c>
      <c r="Y54" s="9">
        <v>2.8229242712008357E-2</v>
      </c>
      <c r="Z54" s="6">
        <f>SUM(Z51:Z53)</f>
        <v>67817.52</v>
      </c>
      <c r="AA54" s="6">
        <f t="shared" si="12"/>
        <v>67817.520000000019</v>
      </c>
      <c r="AB54" s="10">
        <f>C54+E54+G54+I54+K54+M54+O54+Q54+S54+U54+W54+Y54</f>
        <v>1</v>
      </c>
    </row>
    <row r="55" spans="1:28">
      <c r="A55" s="3" t="s">
        <v>58</v>
      </c>
      <c r="B55" s="5"/>
      <c r="C55" s="9"/>
      <c r="D55" s="5"/>
      <c r="E55" s="9"/>
      <c r="F55" s="5"/>
      <c r="G55" s="9"/>
      <c r="H55" s="5"/>
      <c r="I55" s="9"/>
      <c r="J55" s="5"/>
      <c r="K55" s="9"/>
      <c r="L55" s="5"/>
      <c r="M55" s="9"/>
      <c r="N55" s="5"/>
      <c r="O55" s="9"/>
      <c r="P55" s="5"/>
      <c r="Q55" s="9"/>
      <c r="R55" s="5"/>
      <c r="S55" s="9"/>
      <c r="T55" s="5"/>
      <c r="U55" s="9"/>
      <c r="V55" s="5"/>
      <c r="W55" s="9"/>
      <c r="X55" s="5"/>
      <c r="Y55" s="9"/>
      <c r="Z55" s="5"/>
      <c r="AA55" s="5"/>
      <c r="AB55" s="10"/>
    </row>
    <row r="56" spans="1:28">
      <c r="A56" s="3" t="s">
        <v>133</v>
      </c>
      <c r="B56" s="5">
        <f t="shared" si="1"/>
        <v>0</v>
      </c>
      <c r="C56" s="9"/>
      <c r="D56" s="5">
        <f t="shared" si="2"/>
        <v>0</v>
      </c>
      <c r="E56" s="9"/>
      <c r="F56" s="5">
        <f t="shared" si="3"/>
        <v>0</v>
      </c>
      <c r="G56" s="9"/>
      <c r="H56" s="5">
        <f t="shared" si="0"/>
        <v>0</v>
      </c>
      <c r="I56" s="9"/>
      <c r="J56" s="5">
        <f t="shared" si="4"/>
        <v>0</v>
      </c>
      <c r="K56" s="9"/>
      <c r="L56" s="5">
        <f t="shared" si="5"/>
        <v>0</v>
      </c>
      <c r="M56" s="9"/>
      <c r="N56" s="5">
        <f t="shared" si="6"/>
        <v>0</v>
      </c>
      <c r="O56" s="9"/>
      <c r="P56" s="5">
        <f t="shared" si="7"/>
        <v>0</v>
      </c>
      <c r="Q56" s="9"/>
      <c r="R56" s="5">
        <f t="shared" si="8"/>
        <v>0</v>
      </c>
      <c r="S56" s="9"/>
      <c r="T56" s="5">
        <f t="shared" si="9"/>
        <v>0</v>
      </c>
      <c r="U56" s="9"/>
      <c r="V56" s="5">
        <f t="shared" si="10"/>
        <v>0</v>
      </c>
      <c r="W56" s="9"/>
      <c r="X56" s="5">
        <f t="shared" si="11"/>
        <v>0</v>
      </c>
      <c r="Y56" s="9"/>
      <c r="Z56" s="5">
        <v>7500</v>
      </c>
      <c r="AA56" s="5">
        <f t="shared" si="12"/>
        <v>0</v>
      </c>
      <c r="AB56" s="10"/>
    </row>
    <row r="57" spans="1:28">
      <c r="A57" s="3" t="s">
        <v>59</v>
      </c>
      <c r="B57" s="5">
        <f t="shared" si="1"/>
        <v>0</v>
      </c>
      <c r="C57" s="9">
        <v>0</v>
      </c>
      <c r="D57" s="5">
        <f t="shared" si="2"/>
        <v>0</v>
      </c>
      <c r="E57" s="9">
        <v>0</v>
      </c>
      <c r="F57" s="5">
        <f t="shared" si="3"/>
        <v>0</v>
      </c>
      <c r="G57" s="9">
        <v>1</v>
      </c>
      <c r="H57" s="5">
        <f t="shared" si="0"/>
        <v>0</v>
      </c>
      <c r="I57" s="9">
        <v>0</v>
      </c>
      <c r="J57" s="5">
        <f t="shared" si="4"/>
        <v>0</v>
      </c>
      <c r="K57" s="9">
        <v>0</v>
      </c>
      <c r="L57" s="5">
        <f t="shared" si="5"/>
        <v>0</v>
      </c>
      <c r="M57" s="9">
        <v>0</v>
      </c>
      <c r="N57" s="5">
        <f t="shared" si="6"/>
        <v>0</v>
      </c>
      <c r="O57" s="9">
        <v>0</v>
      </c>
      <c r="P57" s="5">
        <f t="shared" si="7"/>
        <v>0</v>
      </c>
      <c r="Q57" s="9">
        <v>0</v>
      </c>
      <c r="R57" s="5">
        <f t="shared" si="8"/>
        <v>0</v>
      </c>
      <c r="S57" s="9">
        <v>0</v>
      </c>
      <c r="T57" s="5">
        <f t="shared" si="9"/>
        <v>0</v>
      </c>
      <c r="U57" s="9">
        <v>0</v>
      </c>
      <c r="V57" s="5">
        <f t="shared" si="10"/>
        <v>0</v>
      </c>
      <c r="W57" s="9">
        <v>0</v>
      </c>
      <c r="X57" s="5">
        <f t="shared" si="11"/>
        <v>0</v>
      </c>
      <c r="Y57" s="9">
        <v>0</v>
      </c>
      <c r="Z57" s="5">
        <v>0</v>
      </c>
      <c r="AA57" s="5">
        <f t="shared" si="12"/>
        <v>0</v>
      </c>
      <c r="AB57" s="10">
        <f>C57+E57+G57+I57+K57+M57+O57+Q57+S57+U57+W57+Y57</f>
        <v>1</v>
      </c>
    </row>
    <row r="58" spans="1:28">
      <c r="A58" s="3" t="s">
        <v>60</v>
      </c>
      <c r="B58" s="6">
        <f t="shared" si="1"/>
        <v>0</v>
      </c>
      <c r="C58" s="9">
        <v>0</v>
      </c>
      <c r="D58" s="6">
        <f t="shared" si="2"/>
        <v>0</v>
      </c>
      <c r="E58" s="9">
        <v>0</v>
      </c>
      <c r="F58" s="6">
        <f t="shared" si="3"/>
        <v>7500</v>
      </c>
      <c r="G58" s="9">
        <v>1</v>
      </c>
      <c r="H58" s="6">
        <f t="shared" si="0"/>
        <v>0</v>
      </c>
      <c r="I58" s="9">
        <v>0</v>
      </c>
      <c r="J58" s="6">
        <f t="shared" si="4"/>
        <v>0</v>
      </c>
      <c r="K58" s="9">
        <v>0</v>
      </c>
      <c r="L58" s="6">
        <f t="shared" si="5"/>
        <v>0</v>
      </c>
      <c r="M58" s="9">
        <v>0</v>
      </c>
      <c r="N58" s="6">
        <f t="shared" si="6"/>
        <v>0</v>
      </c>
      <c r="O58" s="9">
        <v>0</v>
      </c>
      <c r="P58" s="6">
        <f t="shared" si="7"/>
        <v>0</v>
      </c>
      <c r="Q58" s="9">
        <v>0</v>
      </c>
      <c r="R58" s="6">
        <f t="shared" si="8"/>
        <v>0</v>
      </c>
      <c r="S58" s="9">
        <v>0</v>
      </c>
      <c r="T58" s="6">
        <f t="shared" si="9"/>
        <v>0</v>
      </c>
      <c r="U58" s="9">
        <v>0</v>
      </c>
      <c r="V58" s="6">
        <f t="shared" si="10"/>
        <v>0</v>
      </c>
      <c r="W58" s="9">
        <v>0</v>
      </c>
      <c r="X58" s="6">
        <f t="shared" si="11"/>
        <v>0</v>
      </c>
      <c r="Y58" s="9">
        <v>0</v>
      </c>
      <c r="Z58" s="6">
        <f>SUM(Z56:Z57)</f>
        <v>7500</v>
      </c>
      <c r="AA58" s="6">
        <f t="shared" si="12"/>
        <v>7500</v>
      </c>
      <c r="AB58" s="10">
        <f>C58+E58+G58+I58+K58+M58+O58+Q58+S58+U58+W58+Y58</f>
        <v>1</v>
      </c>
    </row>
    <row r="59" spans="1:28">
      <c r="A59" s="3" t="s">
        <v>61</v>
      </c>
      <c r="B59" s="5"/>
      <c r="C59" s="9"/>
      <c r="D59" s="5"/>
      <c r="E59" s="9"/>
      <c r="F59" s="5"/>
      <c r="G59" s="9"/>
      <c r="H59" s="5"/>
      <c r="I59" s="9"/>
      <c r="J59" s="5"/>
      <c r="K59" s="9"/>
      <c r="L59" s="5"/>
      <c r="M59" s="9"/>
      <c r="N59" s="5"/>
      <c r="O59" s="9"/>
      <c r="P59" s="5"/>
      <c r="Q59" s="9"/>
      <c r="R59" s="5"/>
      <c r="S59" s="9"/>
      <c r="T59" s="5"/>
      <c r="U59" s="9"/>
      <c r="V59" s="5"/>
      <c r="W59" s="9"/>
      <c r="X59" s="5"/>
      <c r="Y59" s="9"/>
      <c r="Z59" s="5"/>
      <c r="AA59" s="5"/>
      <c r="AB59" s="10"/>
    </row>
    <row r="60" spans="1:28">
      <c r="A60" s="3" t="s">
        <v>62</v>
      </c>
      <c r="B60" s="5"/>
      <c r="C60" s="9"/>
      <c r="D60" s="5"/>
      <c r="E60" s="9"/>
      <c r="F60" s="5"/>
      <c r="G60" s="9"/>
      <c r="H60" s="5"/>
      <c r="I60" s="9"/>
      <c r="J60" s="5"/>
      <c r="K60" s="9"/>
      <c r="L60" s="5"/>
      <c r="M60" s="9"/>
      <c r="N60" s="5"/>
      <c r="O60" s="9"/>
      <c r="P60" s="5"/>
      <c r="Q60" s="9"/>
      <c r="R60" s="5"/>
      <c r="S60" s="9"/>
      <c r="T60" s="5"/>
      <c r="U60" s="9"/>
      <c r="V60" s="5"/>
      <c r="W60" s="9"/>
      <c r="X60" s="5"/>
      <c r="Y60" s="9"/>
      <c r="Z60" s="5"/>
      <c r="AA60" s="5"/>
      <c r="AB60" s="10"/>
    </row>
    <row r="61" spans="1:28">
      <c r="A61" s="3" t="s">
        <v>63</v>
      </c>
      <c r="B61" s="5">
        <f t="shared" si="1"/>
        <v>0</v>
      </c>
      <c r="C61" s="9">
        <v>0</v>
      </c>
      <c r="D61" s="5">
        <f t="shared" si="2"/>
        <v>0</v>
      </c>
      <c r="E61" s="9">
        <v>0</v>
      </c>
      <c r="F61" s="5">
        <f t="shared" si="3"/>
        <v>185.71428571428569</v>
      </c>
      <c r="G61" s="9">
        <v>9.5238095238095233E-2</v>
      </c>
      <c r="H61" s="5">
        <f t="shared" si="0"/>
        <v>1485.7142857142856</v>
      </c>
      <c r="I61" s="9">
        <v>0.76190476190476186</v>
      </c>
      <c r="J61" s="5">
        <f t="shared" si="4"/>
        <v>185.71428571428569</v>
      </c>
      <c r="K61" s="9">
        <v>9.5238095238095233E-2</v>
      </c>
      <c r="L61" s="5">
        <f t="shared" si="5"/>
        <v>92.857142857142847</v>
      </c>
      <c r="M61" s="9">
        <v>4.7619047619047616E-2</v>
      </c>
      <c r="N61" s="5">
        <f t="shared" si="6"/>
        <v>0</v>
      </c>
      <c r="O61" s="9">
        <v>0</v>
      </c>
      <c r="P61" s="5">
        <f t="shared" si="7"/>
        <v>0</v>
      </c>
      <c r="Q61" s="9">
        <v>0</v>
      </c>
      <c r="R61" s="5">
        <f t="shared" si="8"/>
        <v>0</v>
      </c>
      <c r="S61" s="9">
        <v>0</v>
      </c>
      <c r="T61" s="5">
        <f t="shared" si="9"/>
        <v>0</v>
      </c>
      <c r="U61" s="9">
        <v>0</v>
      </c>
      <c r="V61" s="5">
        <f t="shared" si="10"/>
        <v>0</v>
      </c>
      <c r="W61" s="9">
        <v>0</v>
      </c>
      <c r="X61" s="5">
        <f t="shared" si="11"/>
        <v>0</v>
      </c>
      <c r="Y61" s="9">
        <v>0</v>
      </c>
      <c r="Z61" s="5">
        <v>1950</v>
      </c>
      <c r="AA61" s="5">
        <f t="shared" si="12"/>
        <v>1950</v>
      </c>
      <c r="AB61" s="10">
        <f>C61+E61+G61+I61+K61+M61+O61+Q61+S61+U61+W61+Y61</f>
        <v>1</v>
      </c>
    </row>
    <row r="62" spans="1:28">
      <c r="A62" s="3" t="s">
        <v>64</v>
      </c>
      <c r="B62" s="5">
        <f t="shared" si="1"/>
        <v>307.69230769230774</v>
      </c>
      <c r="C62" s="9">
        <v>0.30769230769230771</v>
      </c>
      <c r="D62" s="5">
        <f t="shared" si="2"/>
        <v>0</v>
      </c>
      <c r="E62" s="9">
        <v>0</v>
      </c>
      <c r="F62" s="5">
        <f t="shared" si="3"/>
        <v>0</v>
      </c>
      <c r="G62" s="9">
        <v>0</v>
      </c>
      <c r="H62" s="5">
        <f t="shared" si="0"/>
        <v>230.76923076923077</v>
      </c>
      <c r="I62" s="9">
        <v>0.23076923076923078</v>
      </c>
      <c r="J62" s="5">
        <f t="shared" si="4"/>
        <v>307.69230769230774</v>
      </c>
      <c r="K62" s="9">
        <v>0.30769230769230771</v>
      </c>
      <c r="L62" s="5">
        <f t="shared" si="5"/>
        <v>153.84615384615387</v>
      </c>
      <c r="M62" s="9">
        <v>0.15384615384615385</v>
      </c>
      <c r="N62" s="5">
        <f t="shared" si="6"/>
        <v>0</v>
      </c>
      <c r="O62" s="9">
        <v>0</v>
      </c>
      <c r="P62" s="5">
        <f t="shared" si="7"/>
        <v>0</v>
      </c>
      <c r="Q62" s="9">
        <v>0</v>
      </c>
      <c r="R62" s="5">
        <f t="shared" si="8"/>
        <v>0</v>
      </c>
      <c r="S62" s="9">
        <v>0</v>
      </c>
      <c r="T62" s="5">
        <f t="shared" si="9"/>
        <v>0</v>
      </c>
      <c r="U62" s="9">
        <v>0</v>
      </c>
      <c r="V62" s="5">
        <f t="shared" si="10"/>
        <v>0</v>
      </c>
      <c r="W62" s="9">
        <v>0</v>
      </c>
      <c r="X62" s="5">
        <f t="shared" si="11"/>
        <v>0</v>
      </c>
      <c r="Y62" s="9">
        <v>0</v>
      </c>
      <c r="Z62" s="5">
        <v>1000</v>
      </c>
      <c r="AA62" s="5">
        <f t="shared" si="12"/>
        <v>1000.0000000000002</v>
      </c>
      <c r="AB62" s="10">
        <f>C62+E62+G62+I62+K62+M62+O62+Q62+S62+U62+W62+Y62</f>
        <v>1</v>
      </c>
    </row>
    <row r="63" spans="1:28">
      <c r="A63" s="3" t="s">
        <v>65</v>
      </c>
      <c r="B63" s="5">
        <f t="shared" si="1"/>
        <v>-256.02788021234346</v>
      </c>
      <c r="C63" s="9">
        <v>0.21335656684361956</v>
      </c>
      <c r="D63" s="5">
        <f t="shared" si="2"/>
        <v>0</v>
      </c>
      <c r="E63" s="9">
        <v>0</v>
      </c>
      <c r="F63" s="5">
        <f t="shared" si="3"/>
        <v>-36.835920087530901</v>
      </c>
      <c r="G63" s="9">
        <v>3.069660007294242E-2</v>
      </c>
      <c r="H63" s="5">
        <f t="shared" si="0"/>
        <v>-93.739109292053342</v>
      </c>
      <c r="I63" s="9">
        <v>7.8115924410044446E-2</v>
      </c>
      <c r="J63" s="5">
        <f t="shared" si="4"/>
        <v>-172.39534789480084</v>
      </c>
      <c r="K63" s="9">
        <v>0.14366278991233403</v>
      </c>
      <c r="L63" s="5">
        <f t="shared" si="5"/>
        <v>-256.02788021234346</v>
      </c>
      <c r="M63" s="9">
        <v>0.21335656684361956</v>
      </c>
      <c r="N63" s="5">
        <f t="shared" si="6"/>
        <v>0</v>
      </c>
      <c r="O63" s="9">
        <v>0</v>
      </c>
      <c r="P63" s="5">
        <f t="shared" si="7"/>
        <v>0</v>
      </c>
      <c r="Q63" s="9">
        <v>0</v>
      </c>
      <c r="R63" s="5">
        <f t="shared" si="8"/>
        <v>0</v>
      </c>
      <c r="S63" s="9">
        <v>0</v>
      </c>
      <c r="T63" s="5">
        <f t="shared" si="9"/>
        <v>0</v>
      </c>
      <c r="U63" s="9">
        <v>0</v>
      </c>
      <c r="V63" s="5">
        <f t="shared" si="10"/>
        <v>-384.97386230092803</v>
      </c>
      <c r="W63" s="9">
        <v>0.32081155191744004</v>
      </c>
      <c r="X63" s="5">
        <f t="shared" si="11"/>
        <v>0</v>
      </c>
      <c r="Y63" s="9">
        <v>0</v>
      </c>
      <c r="Z63" s="5">
        <v>-1200</v>
      </c>
      <c r="AA63" s="5">
        <f t="shared" si="12"/>
        <v>-1200</v>
      </c>
      <c r="AB63" s="10">
        <f>C63+E63+G63+I63+K63+M63+O63+Q63+S63+U63+W63+Y63</f>
        <v>1</v>
      </c>
    </row>
    <row r="64" spans="1:28">
      <c r="A64" s="3" t="s">
        <v>66</v>
      </c>
      <c r="B64" s="6">
        <f t="shared" si="1"/>
        <v>-26.019749761544034</v>
      </c>
      <c r="C64" s="9">
        <v>-1.4868428435168019E-2</v>
      </c>
      <c r="D64" s="6">
        <f t="shared" si="2"/>
        <v>0</v>
      </c>
      <c r="E64" s="9">
        <v>0</v>
      </c>
      <c r="F64" s="6">
        <f t="shared" si="3"/>
        <v>171.09212814902091</v>
      </c>
      <c r="G64" s="9">
        <v>9.7766930370869087E-2</v>
      </c>
      <c r="H64" s="6">
        <f t="shared" si="0"/>
        <v>2142.6854813069253</v>
      </c>
      <c r="I64" s="9">
        <v>1.2243917036039573</v>
      </c>
      <c r="J64" s="6">
        <f t="shared" si="4"/>
        <v>388.31612710168503</v>
      </c>
      <c r="K64" s="9">
        <v>0.22189492977239145</v>
      </c>
      <c r="L64" s="6">
        <f t="shared" si="5"/>
        <v>-148.75441844807264</v>
      </c>
      <c r="M64" s="9">
        <v>-8.5002524827470088E-2</v>
      </c>
      <c r="N64" s="6">
        <f t="shared" si="6"/>
        <v>0</v>
      </c>
      <c r="O64" s="9">
        <v>0</v>
      </c>
      <c r="P64" s="6">
        <f t="shared" si="7"/>
        <v>0</v>
      </c>
      <c r="Q64" s="9">
        <v>0</v>
      </c>
      <c r="R64" s="6">
        <f t="shared" si="8"/>
        <v>0</v>
      </c>
      <c r="S64" s="9">
        <v>0</v>
      </c>
      <c r="T64" s="6">
        <f t="shared" si="9"/>
        <v>0</v>
      </c>
      <c r="U64" s="9">
        <v>0</v>
      </c>
      <c r="V64" s="6">
        <f t="shared" si="10"/>
        <v>-777.31956834801463</v>
      </c>
      <c r="W64" s="9">
        <v>-0.4441826104845798</v>
      </c>
      <c r="X64" s="6">
        <f t="shared" si="11"/>
        <v>0</v>
      </c>
      <c r="Y64" s="9">
        <v>0</v>
      </c>
      <c r="Z64" s="6">
        <f>SUM(Z61:Z63)</f>
        <v>1750</v>
      </c>
      <c r="AA64" s="6">
        <f t="shared" si="12"/>
        <v>1750.0000000000002</v>
      </c>
      <c r="AB64" s="10">
        <f>C64+E64+G64+I64+K64+M64+O64+Q64+S64+U64+W64+Y64</f>
        <v>1</v>
      </c>
    </row>
    <row r="65" spans="1:28">
      <c r="A65" s="3" t="s">
        <v>67</v>
      </c>
      <c r="B65" s="5"/>
      <c r="C65" s="9"/>
      <c r="D65" s="5"/>
      <c r="E65" s="9"/>
      <c r="F65" s="5"/>
      <c r="G65" s="9"/>
      <c r="H65" s="5"/>
      <c r="I65" s="9"/>
      <c r="J65" s="5"/>
      <c r="K65" s="9"/>
      <c r="L65" s="5"/>
      <c r="M65" s="9"/>
      <c r="N65" s="5"/>
      <c r="O65" s="9"/>
      <c r="P65" s="5"/>
      <c r="Q65" s="9"/>
      <c r="R65" s="5"/>
      <c r="S65" s="9"/>
      <c r="T65" s="5"/>
      <c r="U65" s="9"/>
      <c r="V65" s="5"/>
      <c r="W65" s="9"/>
      <c r="X65" s="5"/>
      <c r="Y65" s="9"/>
      <c r="Z65" s="5"/>
      <c r="AA65" s="5"/>
      <c r="AB65" s="10"/>
    </row>
    <row r="66" spans="1:28">
      <c r="A66" s="3" t="s">
        <v>68</v>
      </c>
      <c r="B66" s="5">
        <f t="shared" si="1"/>
        <v>0</v>
      </c>
      <c r="C66" s="9">
        <v>0</v>
      </c>
      <c r="D66" s="5">
        <f t="shared" si="2"/>
        <v>299.4038748137109</v>
      </c>
      <c r="E66" s="9">
        <v>3.6512667660208643E-2</v>
      </c>
      <c r="F66" s="5">
        <f t="shared" si="3"/>
        <v>1967.5111773472429</v>
      </c>
      <c r="G66" s="9">
        <v>0.23994038748137109</v>
      </c>
      <c r="H66" s="5">
        <f t="shared" si="0"/>
        <v>85.543964232488833</v>
      </c>
      <c r="I66" s="9">
        <v>1.0432190760059613E-2</v>
      </c>
      <c r="J66" s="5">
        <f t="shared" si="4"/>
        <v>855.43964232488815</v>
      </c>
      <c r="K66" s="9">
        <v>0.10432190760059612</v>
      </c>
      <c r="L66" s="5">
        <f t="shared" si="5"/>
        <v>1325.9314456035768</v>
      </c>
      <c r="M66" s="9">
        <v>0.161698956780924</v>
      </c>
      <c r="N66" s="5">
        <f t="shared" si="6"/>
        <v>42.771982116244416</v>
      </c>
      <c r="O66" s="9">
        <v>5.2160953800298067E-3</v>
      </c>
      <c r="P66" s="5">
        <f t="shared" si="7"/>
        <v>714.90312965722808</v>
      </c>
      <c r="Q66" s="9">
        <v>8.7183308494783909E-2</v>
      </c>
      <c r="R66" s="5">
        <f t="shared" si="8"/>
        <v>1069.2995529061102</v>
      </c>
      <c r="S66" s="9">
        <v>0.13040238450074515</v>
      </c>
      <c r="T66" s="5">
        <f t="shared" si="9"/>
        <v>85.543964232488833</v>
      </c>
      <c r="U66" s="9">
        <v>1.0432190760059613E-2</v>
      </c>
      <c r="V66" s="5">
        <f t="shared" si="10"/>
        <v>1582.5633383010434</v>
      </c>
      <c r="W66" s="9">
        <v>0.19299552906110284</v>
      </c>
      <c r="X66" s="5">
        <f t="shared" si="11"/>
        <v>171.08792846497767</v>
      </c>
      <c r="Y66" s="9">
        <v>2.0864381520119227E-2</v>
      </c>
      <c r="Z66" s="5">
        <v>8200</v>
      </c>
      <c r="AA66" s="5">
        <f t="shared" si="12"/>
        <v>8200</v>
      </c>
      <c r="AB66" s="10">
        <f>C66+E66+G66+I66+K66+M66+O66+Q66+S66+U66+W66+Y66</f>
        <v>1</v>
      </c>
    </row>
    <row r="67" spans="1:28">
      <c r="A67" s="3" t="s">
        <v>69</v>
      </c>
      <c r="B67" s="5">
        <f t="shared" si="1"/>
        <v>450</v>
      </c>
      <c r="C67" s="9">
        <v>3.7037037037037035E-2</v>
      </c>
      <c r="D67" s="5">
        <f t="shared" si="2"/>
        <v>5850</v>
      </c>
      <c r="E67" s="9">
        <v>0.48148148148148145</v>
      </c>
      <c r="F67" s="5">
        <f t="shared" si="3"/>
        <v>2382.3529411764707</v>
      </c>
      <c r="G67" s="9">
        <v>0.19607843137254902</v>
      </c>
      <c r="H67" s="5">
        <f t="shared" si="0"/>
        <v>450</v>
      </c>
      <c r="I67" s="9">
        <v>3.7037037037037035E-2</v>
      </c>
      <c r="J67" s="5">
        <f t="shared" si="4"/>
        <v>608.82352941176475</v>
      </c>
      <c r="K67" s="9">
        <v>5.0108932461873638E-2</v>
      </c>
      <c r="L67" s="5">
        <f t="shared" si="5"/>
        <v>900</v>
      </c>
      <c r="M67" s="9">
        <v>7.407407407407407E-2</v>
      </c>
      <c r="N67" s="5">
        <f t="shared" si="6"/>
        <v>0</v>
      </c>
      <c r="O67" s="9">
        <v>0</v>
      </c>
      <c r="P67" s="5">
        <f t="shared" si="7"/>
        <v>0</v>
      </c>
      <c r="Q67" s="9">
        <v>0</v>
      </c>
      <c r="R67" s="5">
        <f t="shared" si="8"/>
        <v>0</v>
      </c>
      <c r="S67" s="9">
        <v>0</v>
      </c>
      <c r="T67" s="5">
        <f t="shared" si="9"/>
        <v>0</v>
      </c>
      <c r="U67" s="9">
        <v>0</v>
      </c>
      <c r="V67" s="5">
        <f t="shared" si="10"/>
        <v>900</v>
      </c>
      <c r="W67" s="9">
        <v>7.407407407407407E-2</v>
      </c>
      <c r="X67" s="5">
        <f t="shared" si="11"/>
        <v>608.82352941176475</v>
      </c>
      <c r="Y67" s="9">
        <v>5.0108932461873638E-2</v>
      </c>
      <c r="Z67" s="5">
        <v>12150</v>
      </c>
      <c r="AA67" s="5">
        <f t="shared" si="12"/>
        <v>12149.999999999998</v>
      </c>
      <c r="AB67" s="10">
        <f>C67+E67+G67+I67+K67+M67+O67+Q67+S67+U67+W67+Y67</f>
        <v>1</v>
      </c>
    </row>
    <row r="68" spans="1:28">
      <c r="A68" s="3" t="s">
        <v>70</v>
      </c>
      <c r="B68" s="5">
        <f t="shared" si="1"/>
        <v>0</v>
      </c>
      <c r="C68" s="9">
        <v>0</v>
      </c>
      <c r="D68" s="5">
        <f t="shared" si="2"/>
        <v>0</v>
      </c>
      <c r="E68" s="9">
        <v>0</v>
      </c>
      <c r="F68" s="5">
        <f t="shared" si="3"/>
        <v>-623.42452047250822</v>
      </c>
      <c r="G68" s="9">
        <v>4.1561634698167212E-2</v>
      </c>
      <c r="H68" s="5">
        <f t="shared" si="0"/>
        <v>-5501.4727097860059</v>
      </c>
      <c r="I68" s="9">
        <v>0.36676484731906706</v>
      </c>
      <c r="J68" s="5">
        <f t="shared" si="4"/>
        <v>180.0845814362944</v>
      </c>
      <c r="K68" s="9">
        <v>-1.2005638762419626E-2</v>
      </c>
      <c r="L68" s="5">
        <f t="shared" si="5"/>
        <v>0</v>
      </c>
      <c r="M68" s="9">
        <v>0</v>
      </c>
      <c r="N68" s="5">
        <f t="shared" si="6"/>
        <v>-3121.6890691776098</v>
      </c>
      <c r="O68" s="9">
        <v>0.20811260461184064</v>
      </c>
      <c r="P68" s="5">
        <f t="shared" si="7"/>
        <v>0</v>
      </c>
      <c r="Q68" s="9">
        <v>0</v>
      </c>
      <c r="R68" s="5">
        <f t="shared" si="8"/>
        <v>-3999.2941851716841</v>
      </c>
      <c r="S68" s="9">
        <v>0.26661961234477893</v>
      </c>
      <c r="T68" s="5">
        <f t="shared" si="9"/>
        <v>0</v>
      </c>
      <c r="U68" s="9">
        <v>0</v>
      </c>
      <c r="V68" s="5">
        <f t="shared" si="10"/>
        <v>0</v>
      </c>
      <c r="W68" s="9">
        <v>0</v>
      </c>
      <c r="X68" s="5">
        <f t="shared" si="11"/>
        <v>-1934.2040968284871</v>
      </c>
      <c r="Y68" s="9">
        <v>0.12894693978856581</v>
      </c>
      <c r="Z68" s="5">
        <v>-15000</v>
      </c>
      <c r="AA68" s="5">
        <f t="shared" si="12"/>
        <v>-15000</v>
      </c>
      <c r="AB68" s="10">
        <f>C68+E68+G68+I68+K68+M68+O68+Q68+S68+U68+W68+Y68</f>
        <v>1</v>
      </c>
    </row>
    <row r="69" spans="1:28">
      <c r="A69" s="3" t="s">
        <v>71</v>
      </c>
      <c r="B69" s="6">
        <f t="shared" si="1"/>
        <v>288.88863478123869</v>
      </c>
      <c r="C69" s="9">
        <v>5.3997875660044617E-2</v>
      </c>
      <c r="D69" s="6">
        <f t="shared" si="2"/>
        <v>3922.088053382935</v>
      </c>
      <c r="E69" s="9">
        <v>0.73310057072578227</v>
      </c>
      <c r="F69" s="6">
        <f t="shared" si="3"/>
        <v>2332.3984712883766</v>
      </c>
      <c r="G69" s="9">
        <v>0.43596233108193955</v>
      </c>
      <c r="H69" s="6">
        <f t="shared" si="0"/>
        <v>-2234.9308446030072</v>
      </c>
      <c r="I69" s="9">
        <v>-0.41774408310336586</v>
      </c>
      <c r="J69" s="6">
        <f t="shared" si="4"/>
        <v>950.83785644950615</v>
      </c>
      <c r="K69" s="9">
        <v>0.17772670214009462</v>
      </c>
      <c r="L69" s="6">
        <f t="shared" si="5"/>
        <v>1315.2929607098749</v>
      </c>
      <c r="M69" s="9">
        <v>0.24584915153455608</v>
      </c>
      <c r="N69" s="6">
        <f t="shared" si="6"/>
        <v>-1435.2939009081806</v>
      </c>
      <c r="O69" s="9">
        <v>-0.26827923381461322</v>
      </c>
      <c r="P69" s="6">
        <f t="shared" si="7"/>
        <v>397.64670905182271</v>
      </c>
      <c r="Q69" s="9">
        <v>7.4326487673237893E-2</v>
      </c>
      <c r="R69" s="6">
        <f t="shared" si="8"/>
        <v>-1274.5086828584062</v>
      </c>
      <c r="S69" s="9">
        <v>-0.23822592202960863</v>
      </c>
      <c r="T69" s="6">
        <f t="shared" si="9"/>
        <v>47.58165749338049</v>
      </c>
      <c r="U69" s="9">
        <v>8.8937677557720547E-3</v>
      </c>
      <c r="V69" s="6">
        <f t="shared" si="10"/>
        <v>1458.0379331900167</v>
      </c>
      <c r="W69" s="9">
        <v>0.27253045480187227</v>
      </c>
      <c r="X69" s="6">
        <f t="shared" si="11"/>
        <v>-418.03884797755717</v>
      </c>
      <c r="Y69" s="9">
        <v>-7.813810242571162E-2</v>
      </c>
      <c r="Z69" s="6">
        <f>SUM(Z66:Z68)</f>
        <v>5350</v>
      </c>
      <c r="AA69" s="6">
        <f t="shared" si="12"/>
        <v>5350</v>
      </c>
      <c r="AB69" s="10">
        <f>C69+E69+G69+I69+K69+M69+O69+Q69+S69+U69+W69+Y69</f>
        <v>1</v>
      </c>
    </row>
    <row r="70" spans="1:28">
      <c r="A70" s="3" t="s">
        <v>72</v>
      </c>
      <c r="B70" s="5"/>
      <c r="C70" s="9"/>
      <c r="D70" s="5"/>
      <c r="E70" s="9"/>
      <c r="F70" s="5"/>
      <c r="G70" s="9"/>
      <c r="H70" s="5"/>
      <c r="I70" s="9"/>
      <c r="J70" s="5"/>
      <c r="K70" s="9"/>
      <c r="L70" s="5"/>
      <c r="M70" s="9"/>
      <c r="N70" s="5"/>
      <c r="O70" s="9"/>
      <c r="P70" s="5"/>
      <c r="Q70" s="9"/>
      <c r="R70" s="5"/>
      <c r="S70" s="9"/>
      <c r="T70" s="5"/>
      <c r="U70" s="9"/>
      <c r="V70" s="5"/>
      <c r="W70" s="9"/>
      <c r="X70" s="5"/>
      <c r="Y70" s="9"/>
      <c r="Z70" s="5"/>
      <c r="AA70" s="5"/>
      <c r="AB70" s="10"/>
    </row>
    <row r="71" spans="1:28">
      <c r="A71" s="3" t="s">
        <v>134</v>
      </c>
      <c r="B71" s="5">
        <f t="shared" si="1"/>
        <v>0</v>
      </c>
      <c r="C71" s="9"/>
      <c r="D71" s="5">
        <f t="shared" si="2"/>
        <v>0</v>
      </c>
      <c r="E71" s="9"/>
      <c r="F71" s="5">
        <f t="shared" si="3"/>
        <v>0</v>
      </c>
      <c r="G71" s="9"/>
      <c r="H71" s="5">
        <f t="shared" si="0"/>
        <v>0</v>
      </c>
      <c r="I71" s="9"/>
      <c r="J71" s="5">
        <f t="shared" si="4"/>
        <v>0</v>
      </c>
      <c r="K71" s="9"/>
      <c r="L71" s="5">
        <f t="shared" si="5"/>
        <v>0</v>
      </c>
      <c r="M71" s="9"/>
      <c r="N71" s="5">
        <f t="shared" si="6"/>
        <v>0</v>
      </c>
      <c r="O71" s="9"/>
      <c r="P71" s="5">
        <f t="shared" si="7"/>
        <v>0</v>
      </c>
      <c r="Q71" s="9"/>
      <c r="R71" s="5">
        <f t="shared" si="8"/>
        <v>0</v>
      </c>
      <c r="S71" s="9"/>
      <c r="T71" s="5">
        <f t="shared" si="9"/>
        <v>0</v>
      </c>
      <c r="U71" s="9"/>
      <c r="V71" s="5">
        <f t="shared" si="10"/>
        <v>0</v>
      </c>
      <c r="W71" s="9"/>
      <c r="X71" s="5">
        <f t="shared" si="11"/>
        <v>0</v>
      </c>
      <c r="Y71" s="9"/>
      <c r="Z71" s="5">
        <v>1000</v>
      </c>
      <c r="AA71" s="5">
        <f t="shared" si="12"/>
        <v>0</v>
      </c>
      <c r="AB71" s="10"/>
    </row>
    <row r="72" spans="1:28">
      <c r="A72" s="3" t="s">
        <v>73</v>
      </c>
      <c r="B72" s="5">
        <f t="shared" si="1"/>
        <v>482.71752085816451</v>
      </c>
      <c r="C72" s="9">
        <v>0.10727056019070322</v>
      </c>
      <c r="D72" s="5">
        <f t="shared" si="2"/>
        <v>407.62812872467225</v>
      </c>
      <c r="E72" s="9">
        <v>9.0584028605482717E-2</v>
      </c>
      <c r="F72" s="5">
        <f t="shared" si="3"/>
        <v>933.25387365911797</v>
      </c>
      <c r="G72" s="9">
        <v>0.20738974970202623</v>
      </c>
      <c r="H72" s="5">
        <f t="shared" ref="H72:H122" si="13">I72*$Z72</f>
        <v>520.2622169249106</v>
      </c>
      <c r="I72" s="9">
        <v>0.11561382598331346</v>
      </c>
      <c r="J72" s="5">
        <f t="shared" si="4"/>
        <v>412.99165673420737</v>
      </c>
      <c r="K72" s="9">
        <v>9.1775923718712751E-2</v>
      </c>
      <c r="L72" s="5">
        <f t="shared" si="5"/>
        <v>681.16805721096546</v>
      </c>
      <c r="M72" s="9">
        <v>0.15137067938021453</v>
      </c>
      <c r="N72" s="5">
        <f t="shared" si="6"/>
        <v>187.72348033373063</v>
      </c>
      <c r="O72" s="9">
        <v>4.1716328963051254E-2</v>
      </c>
      <c r="P72" s="5">
        <f t="shared" si="7"/>
        <v>42.908224076281286</v>
      </c>
      <c r="Q72" s="9">
        <v>9.5351609058402856E-3</v>
      </c>
      <c r="R72" s="5">
        <f t="shared" si="8"/>
        <v>246.7222884386174</v>
      </c>
      <c r="S72" s="9">
        <v>5.4827175208581644E-2</v>
      </c>
      <c r="T72" s="5">
        <f t="shared" si="9"/>
        <v>134.08820023837902</v>
      </c>
      <c r="U72" s="9">
        <v>2.9797377830750895E-2</v>
      </c>
      <c r="V72" s="5">
        <f t="shared" si="10"/>
        <v>386.17401668653162</v>
      </c>
      <c r="W72" s="9">
        <v>8.5816448152562577E-2</v>
      </c>
      <c r="X72" s="5">
        <f t="shared" si="11"/>
        <v>64.362336114421922</v>
      </c>
      <c r="Y72" s="9">
        <v>1.4302741358760428E-2</v>
      </c>
      <c r="Z72" s="5">
        <v>4500</v>
      </c>
      <c r="AA72" s="5">
        <f t="shared" si="12"/>
        <v>4500</v>
      </c>
      <c r="AB72" s="10">
        <f>C72+E72+G72+I72+K72+M72+O72+Q72+S72+U72+W72+Y72</f>
        <v>1</v>
      </c>
    </row>
    <row r="73" spans="1:28">
      <c r="A73" s="3" t="s">
        <v>74</v>
      </c>
      <c r="B73" s="5">
        <f t="shared" ref="B73:B123" si="14">C73*$Z73</f>
        <v>0</v>
      </c>
      <c r="C73" s="9">
        <v>0</v>
      </c>
      <c r="D73" s="5">
        <f t="shared" ref="D73:D123" si="15">E73*$Z73</f>
        <v>0</v>
      </c>
      <c r="E73" s="9">
        <v>0</v>
      </c>
      <c r="F73" s="5">
        <f t="shared" ref="F73:F123" si="16">G73*$Z73</f>
        <v>-984.54500665805313</v>
      </c>
      <c r="G73" s="9">
        <v>0.21878777925734513</v>
      </c>
      <c r="H73" s="5">
        <f t="shared" si="13"/>
        <v>-792.79307799914136</v>
      </c>
      <c r="I73" s="9">
        <v>0.17617623955536474</v>
      </c>
      <c r="J73" s="5">
        <f t="shared" ref="J73:J123" si="17">K73*$Z73</f>
        <v>-495.49567374946332</v>
      </c>
      <c r="K73" s="9">
        <v>0.11011014972210297</v>
      </c>
      <c r="L73" s="5">
        <f t="shared" ref="L73:L123" si="18">M73*$Z73</f>
        <v>-445.43859059008355</v>
      </c>
      <c r="M73" s="9">
        <v>9.8986353464463009E-2</v>
      </c>
      <c r="N73" s="5">
        <f t="shared" ref="N73:N123" si="19">O73*$Z73</f>
        <v>-772.08287247998135</v>
      </c>
      <c r="O73" s="9">
        <v>0.17157397166221808</v>
      </c>
      <c r="P73" s="5">
        <f t="shared" ref="P73:P123" si="20">Q73*$Z73</f>
        <v>0</v>
      </c>
      <c r="Q73" s="9">
        <v>0</v>
      </c>
      <c r="R73" s="5">
        <f t="shared" ref="R73:R123" si="21">S73*$Z73</f>
        <v>0</v>
      </c>
      <c r="S73" s="9">
        <v>0</v>
      </c>
      <c r="T73" s="5">
        <f t="shared" ref="T73:T123" si="22">U73*$Z73</f>
        <v>0</v>
      </c>
      <c r="U73" s="9">
        <v>0</v>
      </c>
      <c r="V73" s="5">
        <f t="shared" ref="V73:V123" si="23">W73*$Z73</f>
        <v>-593.90921700108618</v>
      </c>
      <c r="W73" s="9">
        <v>0.13197982600024138</v>
      </c>
      <c r="X73" s="5">
        <f t="shared" ref="X73:X123" si="24">Y73*$Z73</f>
        <v>-415.73556152219123</v>
      </c>
      <c r="Y73" s="9">
        <v>9.238568033826472E-2</v>
      </c>
      <c r="Z73" s="5">
        <v>-4500</v>
      </c>
      <c r="AA73" s="5">
        <f t="shared" ref="AA73:AA123" si="25">B73+D73+F73+H73+J73+L73+N73+P73+R73+T73+V73+X73</f>
        <v>-4500</v>
      </c>
      <c r="AB73" s="10">
        <f>C73+E73+G73+I73+K73+M73+O73+Q73+S73+U73+W73+Y73</f>
        <v>1</v>
      </c>
    </row>
    <row r="74" spans="1:28">
      <c r="A74" s="3" t="s">
        <v>75</v>
      </c>
      <c r="B74" s="6">
        <f t="shared" si="14"/>
        <v>-523.84666426085232</v>
      </c>
      <c r="C74" s="9">
        <v>-0.52384666426085236</v>
      </c>
      <c r="D74" s="6">
        <f t="shared" si="15"/>
        <v>-442.35940537583093</v>
      </c>
      <c r="E74" s="9">
        <v>-0.44235940537583091</v>
      </c>
      <c r="F74" s="6">
        <f t="shared" si="16"/>
        <v>274.44908792475229</v>
      </c>
      <c r="G74" s="9">
        <v>0.27444908792475231</v>
      </c>
      <c r="H74" s="6">
        <f t="shared" si="13"/>
        <v>471.92763931411008</v>
      </c>
      <c r="I74" s="9">
        <v>0.47192763931411008</v>
      </c>
      <c r="J74" s="6">
        <f t="shared" si="17"/>
        <v>199.64378426830262</v>
      </c>
      <c r="K74" s="9">
        <v>0.19964378426830262</v>
      </c>
      <c r="L74" s="6">
        <f t="shared" si="18"/>
        <v>-156.82805024271565</v>
      </c>
      <c r="M74" s="9">
        <v>-0.15682805024271565</v>
      </c>
      <c r="N74" s="6">
        <f t="shared" si="19"/>
        <v>805.72273378112527</v>
      </c>
      <c r="O74" s="9">
        <v>0.80572273378112524</v>
      </c>
      <c r="P74" s="6">
        <f t="shared" si="20"/>
        <v>-46.564147934297985</v>
      </c>
      <c r="Q74" s="9">
        <v>-4.6564147934297986E-2</v>
      </c>
      <c r="R74" s="6">
        <f t="shared" si="21"/>
        <v>-267.74385062221347</v>
      </c>
      <c r="S74" s="9">
        <v>-0.26774385062221345</v>
      </c>
      <c r="T74" s="6">
        <f t="shared" si="22"/>
        <v>-145.51296229468122</v>
      </c>
      <c r="U74" s="9">
        <v>-0.14551296229468122</v>
      </c>
      <c r="V74" s="6">
        <f t="shared" si="23"/>
        <v>357.41475850668775</v>
      </c>
      <c r="W74" s="9">
        <v>0.35741475850668775</v>
      </c>
      <c r="X74" s="6">
        <f t="shared" si="24"/>
        <v>473.6970769356135</v>
      </c>
      <c r="Y74" s="9">
        <v>0.47369707693561347</v>
      </c>
      <c r="Z74" s="6">
        <f>SUM(Z71:Z73)</f>
        <v>1000</v>
      </c>
      <c r="AA74" s="6">
        <f t="shared" si="25"/>
        <v>1000</v>
      </c>
      <c r="AB74" s="10">
        <f>C74+E74+G74+I74+K74+M74+O74+Q74+S74+U74+W74+Y74</f>
        <v>1</v>
      </c>
    </row>
    <row r="75" spans="1:28">
      <c r="A75" s="3" t="s">
        <v>76</v>
      </c>
      <c r="B75" s="6">
        <f t="shared" si="14"/>
        <v>861.1167140822397</v>
      </c>
      <c r="C75" s="9">
        <v>0.10631070544225181</v>
      </c>
      <c r="D75" s="6">
        <f t="shared" si="15"/>
        <v>6164.4369591500108</v>
      </c>
      <c r="E75" s="9">
        <v>0.76104159989506304</v>
      </c>
      <c r="F75" s="6">
        <f t="shared" si="16"/>
        <v>3307.8569192293567</v>
      </c>
      <c r="G75" s="9">
        <v>0.40837739743572304</v>
      </c>
      <c r="H75" s="6">
        <f t="shared" si="13"/>
        <v>-2389.5863522348022</v>
      </c>
      <c r="I75" s="9">
        <v>-0.29501066076972865</v>
      </c>
      <c r="J75" s="6">
        <f t="shared" si="17"/>
        <v>1468.0581559528921</v>
      </c>
      <c r="K75" s="9">
        <v>0.1812417476485052</v>
      </c>
      <c r="L75" s="6">
        <f t="shared" si="18"/>
        <v>1983.4652265862151</v>
      </c>
      <c r="M75" s="9">
        <v>0.24487225019582903</v>
      </c>
      <c r="N75" s="6">
        <f t="shared" si="19"/>
        <v>-2810.2615631918211</v>
      </c>
      <c r="O75" s="9">
        <v>-0.34694587199899024</v>
      </c>
      <c r="P75" s="6">
        <f t="shared" si="20"/>
        <v>626.46717064532618</v>
      </c>
      <c r="Q75" s="9">
        <v>7.7341626005595826E-2</v>
      </c>
      <c r="R75" s="6">
        <f t="shared" si="21"/>
        <v>-1648.8615931384986</v>
      </c>
      <c r="S75" s="9">
        <v>-0.20356315964672822</v>
      </c>
      <c r="T75" s="6">
        <f t="shared" si="22"/>
        <v>195.4577572413418</v>
      </c>
      <c r="U75" s="9">
        <v>2.4130587313745899E-2</v>
      </c>
      <c r="V75" s="6">
        <f t="shared" si="23"/>
        <v>1366.1695353191365</v>
      </c>
      <c r="W75" s="9">
        <v>0.16866290559495511</v>
      </c>
      <c r="X75" s="6">
        <f t="shared" si="24"/>
        <v>-1024.3189296413948</v>
      </c>
      <c r="Y75" s="9">
        <v>-0.12645912711622159</v>
      </c>
      <c r="Z75" s="6">
        <f>Z74+Z69+Z64</f>
        <v>8100</v>
      </c>
      <c r="AA75" s="6">
        <f t="shared" si="25"/>
        <v>8100.0000000000018</v>
      </c>
      <c r="AB75" s="10">
        <f>C75+E75+G75+I75+K75+M75+O75+Q75+S75+U75+W75+Y75</f>
        <v>1</v>
      </c>
    </row>
    <row r="76" spans="1:28">
      <c r="A76" s="3" t="s">
        <v>77</v>
      </c>
      <c r="B76" s="6">
        <f t="shared" si="14"/>
        <v>22260.2216084797</v>
      </c>
      <c r="C76" s="9">
        <v>9.6688834808890595E-2</v>
      </c>
      <c r="D76" s="6">
        <f t="shared" si="15"/>
        <v>23951.833341315505</v>
      </c>
      <c r="E76" s="9">
        <v>0.1040364690900622</v>
      </c>
      <c r="F76" s="6">
        <f t="shared" si="16"/>
        <v>26270.828839421138</v>
      </c>
      <c r="G76" s="9">
        <v>0.11410918878632448</v>
      </c>
      <c r="H76" s="6">
        <f t="shared" si="13"/>
        <v>-2331.2840737255101</v>
      </c>
      <c r="I76" s="9">
        <v>-1.0126095986896066E-2</v>
      </c>
      <c r="J76" s="6">
        <f t="shared" si="17"/>
        <v>36296.787133503545</v>
      </c>
      <c r="K76" s="9">
        <v>0.15765764227198439</v>
      </c>
      <c r="L76" s="6">
        <f t="shared" si="18"/>
        <v>23575.912218366924</v>
      </c>
      <c r="M76" s="9">
        <v>0.1024036293098822</v>
      </c>
      <c r="N76" s="6">
        <f t="shared" si="19"/>
        <v>31555.782687220672</v>
      </c>
      <c r="O76" s="9">
        <v>0.13706475672945059</v>
      </c>
      <c r="P76" s="6">
        <f t="shared" si="20"/>
        <v>22087.755048261493</v>
      </c>
      <c r="Q76" s="9">
        <v>9.5939714200646356E-2</v>
      </c>
      <c r="R76" s="6">
        <f t="shared" si="21"/>
        <v>9975.5378151561708</v>
      </c>
      <c r="S76" s="9">
        <v>4.3329448596866424E-2</v>
      </c>
      <c r="T76" s="6">
        <f t="shared" si="22"/>
        <v>10936.872286208651</v>
      </c>
      <c r="U76" s="9">
        <v>4.7505072339636238E-2</v>
      </c>
      <c r="V76" s="6">
        <f t="shared" si="23"/>
        <v>32379.623724331035</v>
      </c>
      <c r="W76" s="9">
        <v>0.14064316809241767</v>
      </c>
      <c r="X76" s="6">
        <f t="shared" si="24"/>
        <v>-6734.5126285392871</v>
      </c>
      <c r="Y76" s="9">
        <v>-2.9251828239264966E-2</v>
      </c>
      <c r="Z76" s="6">
        <f>Z11+Z47+Z54+Z58+Z75</f>
        <v>230225.35800000001</v>
      </c>
      <c r="AA76" s="6">
        <f t="shared" si="25"/>
        <v>230225.35800000001</v>
      </c>
      <c r="AB76" s="10">
        <f>C76+E76+G76+I76+K76+M76+O76+Q76+S76+U76+W76+Y76</f>
        <v>1.0000000000000002</v>
      </c>
    </row>
    <row r="77" spans="1:28">
      <c r="A77" s="3" t="s">
        <v>78</v>
      </c>
      <c r="B77" s="6">
        <f t="shared" si="14"/>
        <v>0</v>
      </c>
      <c r="C77" s="9">
        <v>9.6688834808890595E-2</v>
      </c>
      <c r="D77" s="6">
        <f t="shared" si="15"/>
        <v>0</v>
      </c>
      <c r="E77" s="9">
        <v>0.1040364690900622</v>
      </c>
      <c r="F77" s="6">
        <f t="shared" si="16"/>
        <v>0</v>
      </c>
      <c r="G77" s="9">
        <v>0.11410918878632448</v>
      </c>
      <c r="H77" s="6">
        <f t="shared" si="13"/>
        <v>0</v>
      </c>
      <c r="I77" s="9">
        <v>-1.0126095986896066E-2</v>
      </c>
      <c r="J77" s="6">
        <f t="shared" si="17"/>
        <v>0</v>
      </c>
      <c r="K77" s="9">
        <v>0.15765764227198439</v>
      </c>
      <c r="L77" s="6">
        <f t="shared" si="18"/>
        <v>0</v>
      </c>
      <c r="M77" s="9">
        <v>0.1024036293098822</v>
      </c>
      <c r="N77" s="6">
        <f t="shared" si="19"/>
        <v>0</v>
      </c>
      <c r="O77" s="9">
        <v>0.13706475672945059</v>
      </c>
      <c r="P77" s="6">
        <f t="shared" si="20"/>
        <v>0</v>
      </c>
      <c r="Q77" s="9">
        <v>9.5939714200646356E-2</v>
      </c>
      <c r="R77" s="6">
        <f t="shared" si="21"/>
        <v>0</v>
      </c>
      <c r="S77" s="9">
        <v>4.3329448596866424E-2</v>
      </c>
      <c r="T77" s="6">
        <f t="shared" si="22"/>
        <v>0</v>
      </c>
      <c r="U77" s="9">
        <v>4.7505072339636238E-2</v>
      </c>
      <c r="V77" s="6">
        <f t="shared" si="23"/>
        <v>0</v>
      </c>
      <c r="W77" s="9">
        <v>0.14064316809241767</v>
      </c>
      <c r="X77" s="6">
        <f t="shared" si="24"/>
        <v>0</v>
      </c>
      <c r="Y77" s="9">
        <v>-2.9251828239264966E-2</v>
      </c>
      <c r="Z77" s="6">
        <v>0</v>
      </c>
      <c r="AA77" s="6">
        <f t="shared" si="25"/>
        <v>0</v>
      </c>
      <c r="AB77" s="10">
        <f>C77+E77+G77+I77+K77+M77+O77+Q77+S77+U77+W77+Y77</f>
        <v>1.0000000000000002</v>
      </c>
    </row>
    <row r="78" spans="1:28">
      <c r="A78" s="3" t="s">
        <v>79</v>
      </c>
      <c r="B78" s="4"/>
      <c r="C78" s="9"/>
      <c r="D78" s="4"/>
      <c r="E78" s="9"/>
      <c r="F78" s="4"/>
      <c r="G78" s="9"/>
      <c r="H78" s="4"/>
      <c r="I78" s="9"/>
      <c r="J78" s="4"/>
      <c r="K78" s="9"/>
      <c r="L78" s="4"/>
      <c r="M78" s="9"/>
      <c r="N78" s="4"/>
      <c r="O78" s="9"/>
      <c r="P78" s="4"/>
      <c r="Q78" s="9"/>
      <c r="R78" s="4"/>
      <c r="S78" s="9"/>
      <c r="T78" s="4"/>
      <c r="U78" s="9"/>
      <c r="V78" s="4"/>
      <c r="W78" s="9"/>
      <c r="X78" s="4"/>
      <c r="Y78" s="9"/>
      <c r="Z78" s="4"/>
      <c r="AA78" s="4"/>
      <c r="AB78" s="10"/>
    </row>
    <row r="79" spans="1:28">
      <c r="A79" s="3" t="s">
        <v>80</v>
      </c>
      <c r="B79" s="5">
        <f t="shared" si="14"/>
        <v>0</v>
      </c>
      <c r="C79" s="9">
        <v>0</v>
      </c>
      <c r="D79" s="5">
        <f t="shared" si="15"/>
        <v>0</v>
      </c>
      <c r="E79" s="9">
        <v>0</v>
      </c>
      <c r="F79" s="5">
        <f t="shared" si="16"/>
        <v>0</v>
      </c>
      <c r="G79" s="9">
        <v>0</v>
      </c>
      <c r="H79" s="5">
        <f t="shared" si="13"/>
        <v>0</v>
      </c>
      <c r="I79" s="9">
        <v>0</v>
      </c>
      <c r="J79" s="5">
        <f t="shared" si="17"/>
        <v>0</v>
      </c>
      <c r="K79" s="9">
        <v>0</v>
      </c>
      <c r="L79" s="5">
        <f t="shared" si="18"/>
        <v>0</v>
      </c>
      <c r="M79" s="9">
        <v>0</v>
      </c>
      <c r="N79" s="5">
        <f t="shared" si="19"/>
        <v>0</v>
      </c>
      <c r="O79" s="9">
        <v>0</v>
      </c>
      <c r="P79" s="5">
        <f t="shared" si="20"/>
        <v>283.20000000000005</v>
      </c>
      <c r="Q79" s="9">
        <v>1</v>
      </c>
      <c r="R79" s="5">
        <f t="shared" si="21"/>
        <v>0</v>
      </c>
      <c r="S79" s="9">
        <v>0</v>
      </c>
      <c r="T79" s="5">
        <f t="shared" si="22"/>
        <v>0</v>
      </c>
      <c r="U79" s="9">
        <v>0</v>
      </c>
      <c r="V79" s="5">
        <f t="shared" si="23"/>
        <v>0</v>
      </c>
      <c r="W79" s="9">
        <v>0</v>
      </c>
      <c r="X79" s="5">
        <f t="shared" si="24"/>
        <v>0</v>
      </c>
      <c r="Y79" s="9">
        <v>0</v>
      </c>
      <c r="Z79" s="5">
        <v>283.20000000000005</v>
      </c>
      <c r="AA79" s="5">
        <f t="shared" si="25"/>
        <v>283.20000000000005</v>
      </c>
      <c r="AB79" s="10">
        <f>C79+E79+G79+I79+K79+M79+O79+Q79+S79+U79+W79+Y79</f>
        <v>1</v>
      </c>
    </row>
    <row r="80" spans="1:28">
      <c r="A80" s="3" t="s">
        <v>81</v>
      </c>
      <c r="B80" s="5">
        <f t="shared" si="14"/>
        <v>1500</v>
      </c>
      <c r="C80" s="9">
        <v>0.10638297872340426</v>
      </c>
      <c r="D80" s="5">
        <f t="shared" si="15"/>
        <v>1000.0000000000001</v>
      </c>
      <c r="E80" s="9">
        <v>7.0921985815602842E-2</v>
      </c>
      <c r="F80" s="5">
        <f t="shared" si="16"/>
        <v>1000.0000000000001</v>
      </c>
      <c r="G80" s="9">
        <v>7.0921985815602842E-2</v>
      </c>
      <c r="H80" s="5">
        <f t="shared" si="13"/>
        <v>1500</v>
      </c>
      <c r="I80" s="9">
        <v>0.10638297872340426</v>
      </c>
      <c r="J80" s="5">
        <f t="shared" si="17"/>
        <v>1000.0000000000001</v>
      </c>
      <c r="K80" s="9">
        <v>7.0921985815602842E-2</v>
      </c>
      <c r="L80" s="5">
        <f t="shared" si="18"/>
        <v>1000.0000000000001</v>
      </c>
      <c r="M80" s="9">
        <v>7.0921985815602842E-2</v>
      </c>
      <c r="N80" s="5">
        <f t="shared" si="19"/>
        <v>1100</v>
      </c>
      <c r="O80" s="9">
        <v>7.8014184397163122E-2</v>
      </c>
      <c r="P80" s="5">
        <f t="shared" si="20"/>
        <v>1150</v>
      </c>
      <c r="Q80" s="9">
        <v>8.1560283687943269E-2</v>
      </c>
      <c r="R80" s="5">
        <f t="shared" si="21"/>
        <v>1250</v>
      </c>
      <c r="S80" s="9">
        <v>8.8652482269503549E-2</v>
      </c>
      <c r="T80" s="5">
        <f t="shared" si="22"/>
        <v>1250</v>
      </c>
      <c r="U80" s="9">
        <v>8.8652482269503549E-2</v>
      </c>
      <c r="V80" s="5">
        <f t="shared" si="23"/>
        <v>1100</v>
      </c>
      <c r="W80" s="9">
        <v>7.8014184397163122E-2</v>
      </c>
      <c r="X80" s="5">
        <f t="shared" si="24"/>
        <v>1250</v>
      </c>
      <c r="Y80" s="9">
        <v>8.8652482269503549E-2</v>
      </c>
      <c r="Z80" s="5">
        <v>14100</v>
      </c>
      <c r="AA80" s="5">
        <f t="shared" si="25"/>
        <v>14100</v>
      </c>
      <c r="AB80" s="10">
        <f>C80+E80+G80+I80+K80+M80+O80+Q80+S80+U80+W80+Y80</f>
        <v>0.99999999999999989</v>
      </c>
    </row>
    <row r="81" spans="1:28">
      <c r="A81" s="3" t="s">
        <v>82</v>
      </c>
      <c r="B81" s="5">
        <f t="shared" si="14"/>
        <v>0</v>
      </c>
      <c r="C81" s="9">
        <v>0</v>
      </c>
      <c r="D81" s="5">
        <f t="shared" si="15"/>
        <v>60</v>
      </c>
      <c r="E81" s="9">
        <v>0.1111111111111111</v>
      </c>
      <c r="F81" s="5">
        <f t="shared" si="16"/>
        <v>0</v>
      </c>
      <c r="G81" s="9">
        <v>0</v>
      </c>
      <c r="H81" s="5">
        <f t="shared" si="13"/>
        <v>0</v>
      </c>
      <c r="I81" s="9">
        <v>0</v>
      </c>
      <c r="J81" s="5">
        <f t="shared" si="17"/>
        <v>0</v>
      </c>
      <c r="K81" s="9">
        <v>0</v>
      </c>
      <c r="L81" s="5">
        <f t="shared" si="18"/>
        <v>0</v>
      </c>
      <c r="M81" s="9">
        <v>0</v>
      </c>
      <c r="N81" s="5">
        <f t="shared" si="19"/>
        <v>0</v>
      </c>
      <c r="O81" s="9">
        <v>0</v>
      </c>
      <c r="P81" s="5">
        <f t="shared" si="20"/>
        <v>480</v>
      </c>
      <c r="Q81" s="9">
        <v>0.88888888888888884</v>
      </c>
      <c r="R81" s="5">
        <f t="shared" si="21"/>
        <v>0</v>
      </c>
      <c r="S81" s="9">
        <v>0</v>
      </c>
      <c r="T81" s="5">
        <f t="shared" si="22"/>
        <v>0</v>
      </c>
      <c r="U81" s="9">
        <v>0</v>
      </c>
      <c r="V81" s="5">
        <f t="shared" si="23"/>
        <v>0</v>
      </c>
      <c r="W81" s="9">
        <v>0</v>
      </c>
      <c r="X81" s="5">
        <f t="shared" si="24"/>
        <v>0</v>
      </c>
      <c r="Y81" s="9">
        <v>0</v>
      </c>
      <c r="Z81" s="5">
        <v>540</v>
      </c>
      <c r="AA81" s="5">
        <f t="shared" si="25"/>
        <v>540</v>
      </c>
      <c r="AB81" s="10">
        <f>C81+E81+G81+I81+K81+M81+O81+Q81+S81+U81+W81+Y81</f>
        <v>1</v>
      </c>
    </row>
    <row r="82" spans="1:28">
      <c r="A82" s="3" t="s">
        <v>83</v>
      </c>
      <c r="B82" s="5">
        <f t="shared" si="14"/>
        <v>299.89838848402292</v>
      </c>
      <c r="C82" s="9">
        <v>7.203856456804468E-2</v>
      </c>
      <c r="D82" s="5">
        <f t="shared" si="15"/>
        <v>181.85112843348128</v>
      </c>
      <c r="E82" s="9">
        <v>4.3682442988936046E-2</v>
      </c>
      <c r="F82" s="5">
        <f t="shared" si="16"/>
        <v>579.64021047177278</v>
      </c>
      <c r="G82" s="9">
        <v>0.13923532213488496</v>
      </c>
      <c r="H82" s="5">
        <f t="shared" si="13"/>
        <v>346.8672298371805</v>
      </c>
      <c r="I82" s="9">
        <v>8.3320945669222046E-2</v>
      </c>
      <c r="J82" s="5">
        <f t="shared" si="17"/>
        <v>385.86690235628532</v>
      </c>
      <c r="K82" s="9">
        <v>9.2689053451000952E-2</v>
      </c>
      <c r="L82" s="5">
        <f t="shared" si="18"/>
        <v>322.71976421006644</v>
      </c>
      <c r="M82" s="9">
        <v>7.7520485151488489E-2</v>
      </c>
      <c r="N82" s="5">
        <f t="shared" si="19"/>
        <v>575.23254022916672</v>
      </c>
      <c r="O82" s="9">
        <v>0.138176556067579</v>
      </c>
      <c r="P82" s="5">
        <f t="shared" si="20"/>
        <v>153.29599256376105</v>
      </c>
      <c r="Q82" s="9">
        <v>3.6823216403896498E-2</v>
      </c>
      <c r="R82" s="5">
        <f t="shared" si="21"/>
        <v>226.25619597790239</v>
      </c>
      <c r="S82" s="9">
        <v>5.4348980217153217E-2</v>
      </c>
      <c r="T82" s="5">
        <f t="shared" si="22"/>
        <v>579.52654562310954</v>
      </c>
      <c r="U82" s="9">
        <v>0.13920801871194582</v>
      </c>
      <c r="V82" s="5">
        <f t="shared" si="23"/>
        <v>303.80088162145927</v>
      </c>
      <c r="W82" s="9">
        <v>7.2975982088954547E-2</v>
      </c>
      <c r="X82" s="5">
        <f t="shared" si="24"/>
        <v>208.06982019179137</v>
      </c>
      <c r="Y82" s="9">
        <v>4.9980432546893626E-2</v>
      </c>
      <c r="Z82" s="5">
        <v>4163.0255999999999</v>
      </c>
      <c r="AA82" s="5">
        <f t="shared" si="25"/>
        <v>4163.025599999999</v>
      </c>
      <c r="AB82" s="10">
        <f>C82+E82+G82+I82+K82+M82+O82+Q82+S82+U82+W82+Y82</f>
        <v>0.99999999999999978</v>
      </c>
    </row>
    <row r="83" spans="1:28">
      <c r="A83" s="3" t="s">
        <v>84</v>
      </c>
      <c r="B83" s="5">
        <f t="shared" si="14"/>
        <v>137.5039063609762</v>
      </c>
      <c r="C83" s="9">
        <v>6.8751953180488101E-2</v>
      </c>
      <c r="D83" s="5">
        <f t="shared" si="15"/>
        <v>127.84454103809773</v>
      </c>
      <c r="E83" s="9">
        <v>6.3922270519048863E-2</v>
      </c>
      <c r="F83" s="5">
        <f t="shared" si="16"/>
        <v>242.04664905252997</v>
      </c>
      <c r="G83" s="9">
        <v>0.12102332452626499</v>
      </c>
      <c r="H83" s="5">
        <f t="shared" si="13"/>
        <v>409.09684934231097</v>
      </c>
      <c r="I83" s="9">
        <v>0.2045484246711555</v>
      </c>
      <c r="J83" s="5">
        <f t="shared" si="17"/>
        <v>350.00426148470143</v>
      </c>
      <c r="K83" s="9">
        <v>0.17500213074235071</v>
      </c>
      <c r="L83" s="5">
        <f t="shared" si="18"/>
        <v>153.40776726611557</v>
      </c>
      <c r="M83" s="9">
        <v>7.6703883633057787E-2</v>
      </c>
      <c r="N83" s="5">
        <f t="shared" si="19"/>
        <v>94.315179408505969</v>
      </c>
      <c r="O83" s="9">
        <v>4.7157589704252982E-2</v>
      </c>
      <c r="P83" s="5">
        <f t="shared" si="20"/>
        <v>94.315179408505969</v>
      </c>
      <c r="Q83" s="9">
        <v>4.7157589704252982E-2</v>
      </c>
      <c r="R83" s="5">
        <f t="shared" si="21"/>
        <v>94.315179408505969</v>
      </c>
      <c r="S83" s="9">
        <v>4.7157589704252982E-2</v>
      </c>
      <c r="T83" s="5">
        <f t="shared" si="22"/>
        <v>94.315179408505969</v>
      </c>
      <c r="U83" s="9">
        <v>4.7157589704252982E-2</v>
      </c>
      <c r="V83" s="5">
        <f t="shared" si="23"/>
        <v>94.315179408505969</v>
      </c>
      <c r="W83" s="9">
        <v>4.7157589704252982E-2</v>
      </c>
      <c r="X83" s="5">
        <f t="shared" si="24"/>
        <v>108.52012841273904</v>
      </c>
      <c r="Y83" s="9">
        <v>5.4260064206369522E-2</v>
      </c>
      <c r="Z83" s="5">
        <v>2000</v>
      </c>
      <c r="AA83" s="5">
        <f t="shared" si="25"/>
        <v>2000.0000000000011</v>
      </c>
      <c r="AB83" s="10">
        <f>C83+E83+G83+I83+K83+M83+O83+Q83+S83+U83+W83+Y83</f>
        <v>1.0000000000000004</v>
      </c>
    </row>
    <row r="84" spans="1:28">
      <c r="A84" s="3" t="s">
        <v>85</v>
      </c>
      <c r="C84" s="9"/>
      <c r="E84" s="9"/>
      <c r="G84" s="9"/>
      <c r="I84" s="9"/>
      <c r="K84" s="9"/>
      <c r="M84" s="9"/>
      <c r="O84" s="9"/>
      <c r="Q84" s="9"/>
      <c r="S84" s="9"/>
      <c r="U84" s="9"/>
      <c r="W84" s="9"/>
      <c r="Y84" s="9"/>
      <c r="AB84" s="10"/>
    </row>
    <row r="85" spans="1:28">
      <c r="A85" s="3" t="s">
        <v>86</v>
      </c>
      <c r="B85" s="5">
        <f t="shared" si="14"/>
        <v>0</v>
      </c>
      <c r="C85" s="9">
        <v>0</v>
      </c>
      <c r="D85" s="5">
        <f t="shared" si="15"/>
        <v>0</v>
      </c>
      <c r="E85" s="9">
        <v>0</v>
      </c>
      <c r="F85" s="5">
        <f t="shared" si="16"/>
        <v>0</v>
      </c>
      <c r="G85" s="9">
        <v>0</v>
      </c>
      <c r="H85" s="5">
        <f t="shared" si="13"/>
        <v>346.26250395884762</v>
      </c>
      <c r="I85" s="9">
        <v>0.19592607528203712</v>
      </c>
      <c r="J85" s="5">
        <f t="shared" si="17"/>
        <v>111.60534170018981</v>
      </c>
      <c r="K85" s="9">
        <v>6.3149767386963818E-2</v>
      </c>
      <c r="L85" s="5">
        <f t="shared" si="18"/>
        <v>111.62272435601106</v>
      </c>
      <c r="M85" s="9">
        <v>6.3159603033313333E-2</v>
      </c>
      <c r="N85" s="5">
        <f t="shared" si="19"/>
        <v>111.62272435601106</v>
      </c>
      <c r="O85" s="9">
        <v>6.3159603033313333E-2</v>
      </c>
      <c r="P85" s="5">
        <f t="shared" si="20"/>
        <v>111.62272435601106</v>
      </c>
      <c r="Q85" s="9">
        <v>6.3159603033313333E-2</v>
      </c>
      <c r="R85" s="5">
        <f t="shared" si="21"/>
        <v>375.66526628045358</v>
      </c>
      <c r="S85" s="9">
        <v>0.21256307108221614</v>
      </c>
      <c r="T85" s="5">
        <f t="shared" si="22"/>
        <v>111.62272435601106</v>
      </c>
      <c r="U85" s="9">
        <v>6.3159603033313333E-2</v>
      </c>
      <c r="V85" s="5">
        <f t="shared" si="23"/>
        <v>111.62272435601106</v>
      </c>
      <c r="W85" s="9">
        <v>6.3159603033313333E-2</v>
      </c>
      <c r="X85" s="5">
        <f t="shared" si="24"/>
        <v>375.66526628045358</v>
      </c>
      <c r="Y85" s="9">
        <v>0.21256307108221614</v>
      </c>
      <c r="Z85" s="5">
        <v>1767.3120000000001</v>
      </c>
      <c r="AA85" s="5">
        <f t="shared" si="25"/>
        <v>1767.3119999999999</v>
      </c>
      <c r="AB85" s="10">
        <f>C85+E85+G85+I85+K85+M85+O85+Q85+S85+U85+W85+Y85</f>
        <v>1</v>
      </c>
    </row>
    <row r="86" spans="1:28">
      <c r="A86" s="3" t="s">
        <v>87</v>
      </c>
      <c r="B86" s="6">
        <f t="shared" si="14"/>
        <v>0</v>
      </c>
      <c r="C86" s="9">
        <v>0</v>
      </c>
      <c r="D86" s="6">
        <f t="shared" si="15"/>
        <v>0</v>
      </c>
      <c r="E86" s="9">
        <v>0</v>
      </c>
      <c r="F86" s="6">
        <f t="shared" si="16"/>
        <v>0</v>
      </c>
      <c r="G86" s="9">
        <v>0</v>
      </c>
      <c r="H86" s="6">
        <f t="shared" si="13"/>
        <v>346.26250395884762</v>
      </c>
      <c r="I86" s="9">
        <v>0.19592607528203712</v>
      </c>
      <c r="J86" s="6">
        <f t="shared" si="17"/>
        <v>111.60534170018981</v>
      </c>
      <c r="K86" s="9">
        <v>6.3149767386963818E-2</v>
      </c>
      <c r="L86" s="6">
        <f t="shared" si="18"/>
        <v>111.62272435601106</v>
      </c>
      <c r="M86" s="9">
        <v>6.3159603033313333E-2</v>
      </c>
      <c r="N86" s="6">
        <f t="shared" si="19"/>
        <v>111.62272435601106</v>
      </c>
      <c r="O86" s="9">
        <v>6.3159603033313333E-2</v>
      </c>
      <c r="P86" s="6">
        <f t="shared" si="20"/>
        <v>111.62272435601106</v>
      </c>
      <c r="Q86" s="9">
        <v>6.3159603033313333E-2</v>
      </c>
      <c r="R86" s="6">
        <f t="shared" si="21"/>
        <v>375.66526628045358</v>
      </c>
      <c r="S86" s="9">
        <v>0.21256307108221614</v>
      </c>
      <c r="T86" s="6">
        <f t="shared" si="22"/>
        <v>111.62272435601106</v>
      </c>
      <c r="U86" s="9">
        <v>6.3159603033313333E-2</v>
      </c>
      <c r="V86" s="6">
        <f t="shared" si="23"/>
        <v>111.62272435601106</v>
      </c>
      <c r="W86" s="9">
        <v>6.3159603033313333E-2</v>
      </c>
      <c r="X86" s="6">
        <f t="shared" si="24"/>
        <v>375.66526628045358</v>
      </c>
      <c r="Y86" s="9">
        <v>0.21256307108221614</v>
      </c>
      <c r="Z86" s="6">
        <f>SUM(Z85)</f>
        <v>1767.3120000000001</v>
      </c>
      <c r="AA86" s="6">
        <f t="shared" si="25"/>
        <v>1767.3119999999999</v>
      </c>
      <c r="AB86" s="10">
        <f>C86+E86+G86+I86+K86+M86+O86+Q86+S86+U86+W86+Y86</f>
        <v>1</v>
      </c>
    </row>
    <row r="87" spans="1:28">
      <c r="A87" s="3" t="s">
        <v>88</v>
      </c>
      <c r="B87" s="5">
        <f t="shared" si="14"/>
        <v>112.06800000000001</v>
      </c>
      <c r="C87" s="9">
        <v>0.18522411741372474</v>
      </c>
      <c r="D87" s="5">
        <f t="shared" si="15"/>
        <v>0</v>
      </c>
      <c r="E87" s="9">
        <v>0</v>
      </c>
      <c r="F87" s="5">
        <f t="shared" si="16"/>
        <v>0</v>
      </c>
      <c r="G87" s="9">
        <v>0</v>
      </c>
      <c r="H87" s="5">
        <f t="shared" si="13"/>
        <v>0</v>
      </c>
      <c r="I87" s="9">
        <v>0</v>
      </c>
      <c r="J87" s="5">
        <f t="shared" si="17"/>
        <v>298.36799999999999</v>
      </c>
      <c r="K87" s="9">
        <v>0.49313764379214603</v>
      </c>
      <c r="L87" s="5">
        <f t="shared" si="18"/>
        <v>194.60400000000001</v>
      </c>
      <c r="M87" s="9">
        <v>0.32163823879412934</v>
      </c>
      <c r="N87" s="5">
        <f t="shared" si="19"/>
        <v>0</v>
      </c>
      <c r="O87" s="9">
        <v>0</v>
      </c>
      <c r="P87" s="5">
        <f t="shared" si="20"/>
        <v>0</v>
      </c>
      <c r="Q87" s="9">
        <v>0</v>
      </c>
      <c r="R87" s="5">
        <f t="shared" si="21"/>
        <v>0</v>
      </c>
      <c r="S87" s="9">
        <v>0</v>
      </c>
      <c r="T87" s="5">
        <f t="shared" si="22"/>
        <v>0</v>
      </c>
      <c r="U87" s="9">
        <v>0</v>
      </c>
      <c r="V87" s="5">
        <f t="shared" si="23"/>
        <v>0</v>
      </c>
      <c r="W87" s="9">
        <v>0</v>
      </c>
      <c r="X87" s="5">
        <f t="shared" si="24"/>
        <v>0</v>
      </c>
      <c r="Y87" s="9">
        <v>0</v>
      </c>
      <c r="Z87" s="5">
        <v>605.04</v>
      </c>
      <c r="AA87" s="5">
        <f t="shared" si="25"/>
        <v>605.04000000000008</v>
      </c>
      <c r="AB87" s="10">
        <f>C87+E87+G87+I87+K87+M87+O87+Q87+S87+U87+W87+Y87</f>
        <v>1</v>
      </c>
    </row>
    <row r="88" spans="1:28">
      <c r="A88" s="3" t="s">
        <v>89</v>
      </c>
      <c r="B88" s="5">
        <f t="shared" si="14"/>
        <v>0</v>
      </c>
      <c r="C88" s="9">
        <v>0</v>
      </c>
      <c r="D88" s="5">
        <f t="shared" si="15"/>
        <v>249.27599999999998</v>
      </c>
      <c r="E88" s="9">
        <v>0.73356169220990175</v>
      </c>
      <c r="F88" s="5">
        <f t="shared" si="16"/>
        <v>62.724000000000011</v>
      </c>
      <c r="G88" s="9">
        <v>0.18458224450879301</v>
      </c>
      <c r="H88" s="5">
        <f t="shared" si="13"/>
        <v>0</v>
      </c>
      <c r="I88" s="9">
        <v>0</v>
      </c>
      <c r="J88" s="5">
        <f t="shared" si="17"/>
        <v>0</v>
      </c>
      <c r="K88" s="9">
        <v>0</v>
      </c>
      <c r="L88" s="5">
        <f t="shared" si="18"/>
        <v>0</v>
      </c>
      <c r="M88" s="9">
        <v>0</v>
      </c>
      <c r="N88" s="5">
        <f t="shared" si="19"/>
        <v>27.816000000000003</v>
      </c>
      <c r="O88" s="9">
        <v>8.185606328130518E-2</v>
      </c>
      <c r="P88" s="5">
        <f t="shared" si="20"/>
        <v>0</v>
      </c>
      <c r="Q88" s="9">
        <v>0</v>
      </c>
      <c r="R88" s="5">
        <f t="shared" si="21"/>
        <v>0</v>
      </c>
      <c r="S88" s="9">
        <v>0</v>
      </c>
      <c r="T88" s="5">
        <f t="shared" si="22"/>
        <v>0</v>
      </c>
      <c r="U88" s="9">
        <v>0</v>
      </c>
      <c r="V88" s="5">
        <f t="shared" si="23"/>
        <v>0</v>
      </c>
      <c r="W88" s="9">
        <v>0</v>
      </c>
      <c r="X88" s="5">
        <f t="shared" si="24"/>
        <v>0</v>
      </c>
      <c r="Y88" s="9">
        <v>0</v>
      </c>
      <c r="Z88" s="5">
        <v>339.81600000000003</v>
      </c>
      <c r="AA88" s="5">
        <f t="shared" si="25"/>
        <v>339.81600000000003</v>
      </c>
      <c r="AB88" s="10">
        <f>C88+E88+G88+I88+K88+M88+O88+Q88+S88+U88+W88+Y88</f>
        <v>1</v>
      </c>
    </row>
    <row r="89" spans="1:28">
      <c r="A89" s="3" t="s">
        <v>90</v>
      </c>
      <c r="B89" s="5">
        <f t="shared" si="14"/>
        <v>583.27147543753767</v>
      </c>
      <c r="C89" s="9">
        <v>0.50403339368336342</v>
      </c>
      <c r="D89" s="5">
        <f t="shared" si="15"/>
        <v>-508.60350802655392</v>
      </c>
      <c r="E89" s="9">
        <v>-0.43950915308790978</v>
      </c>
      <c r="F89" s="5">
        <f t="shared" si="16"/>
        <v>500.99121641520821</v>
      </c>
      <c r="G89" s="9">
        <v>0.4329309997988332</v>
      </c>
      <c r="H89" s="5">
        <f t="shared" si="13"/>
        <v>436.53116910078455</v>
      </c>
      <c r="I89" s="9">
        <v>0.37722792194729426</v>
      </c>
      <c r="J89" s="5">
        <f t="shared" si="17"/>
        <v>-45.382759927579961</v>
      </c>
      <c r="K89" s="9">
        <v>-3.9217461275397297E-2</v>
      </c>
      <c r="L89" s="5">
        <f t="shared" si="18"/>
        <v>0</v>
      </c>
      <c r="M89" s="9">
        <v>0</v>
      </c>
      <c r="N89" s="5">
        <f t="shared" si="19"/>
        <v>6.1107845503922755</v>
      </c>
      <c r="O89" s="9">
        <v>5.2806276403138197E-3</v>
      </c>
      <c r="P89" s="5">
        <f t="shared" si="20"/>
        <v>149.53380784550393</v>
      </c>
      <c r="Q89" s="9">
        <v>0.12921947294306979</v>
      </c>
      <c r="R89" s="5">
        <f t="shared" si="21"/>
        <v>0</v>
      </c>
      <c r="S89" s="9">
        <v>0</v>
      </c>
      <c r="T89" s="5">
        <f t="shared" si="22"/>
        <v>0</v>
      </c>
      <c r="U89" s="9">
        <v>0</v>
      </c>
      <c r="V89" s="5">
        <f t="shared" si="23"/>
        <v>0</v>
      </c>
      <c r="W89" s="9">
        <v>0</v>
      </c>
      <c r="X89" s="5">
        <f t="shared" si="24"/>
        <v>34.755814604707297</v>
      </c>
      <c r="Y89" s="9">
        <v>3.0034198350432504E-2</v>
      </c>
      <c r="Z89" s="5">
        <v>1157.2080000000001</v>
      </c>
      <c r="AA89" s="5">
        <f t="shared" si="25"/>
        <v>1157.2080000000001</v>
      </c>
      <c r="AB89" s="10">
        <f>C89+E89+G89+I89+K89+M89+O89+Q89+S89+U89+W89+Y89</f>
        <v>1</v>
      </c>
    </row>
    <row r="90" spans="1:28">
      <c r="A90" s="3" t="s">
        <v>91</v>
      </c>
      <c r="B90" s="5"/>
      <c r="C90" s="9"/>
      <c r="D90" s="5"/>
      <c r="E90" s="9"/>
      <c r="F90" s="5"/>
      <c r="G90" s="9"/>
      <c r="H90" s="5"/>
      <c r="I90" s="9"/>
      <c r="J90" s="5"/>
      <c r="K90" s="9"/>
      <c r="L90" s="5"/>
      <c r="M90" s="9"/>
      <c r="N90" s="5"/>
      <c r="O90" s="9"/>
      <c r="P90" s="5"/>
      <c r="Q90" s="9"/>
      <c r="R90" s="5"/>
      <c r="S90" s="9"/>
      <c r="T90" s="5"/>
      <c r="U90" s="9"/>
      <c r="V90" s="5"/>
      <c r="W90" s="9"/>
      <c r="X90" s="5"/>
      <c r="Y90" s="9"/>
      <c r="Z90" s="5"/>
      <c r="AA90" s="5"/>
      <c r="AB90" s="10"/>
    </row>
    <row r="91" spans="1:28">
      <c r="A91" s="3" t="s">
        <v>92</v>
      </c>
      <c r="B91" s="5">
        <f t="shared" si="14"/>
        <v>0</v>
      </c>
      <c r="C91" s="9">
        <v>0</v>
      </c>
      <c r="D91" s="5">
        <f t="shared" si="15"/>
        <v>0</v>
      </c>
      <c r="E91" s="9">
        <v>0</v>
      </c>
      <c r="F91" s="5">
        <f t="shared" si="16"/>
        <v>0</v>
      </c>
      <c r="G91" s="9">
        <v>0</v>
      </c>
      <c r="H91" s="5">
        <f t="shared" si="13"/>
        <v>0</v>
      </c>
      <c r="I91" s="9">
        <v>0</v>
      </c>
      <c r="J91" s="5">
        <f t="shared" si="17"/>
        <v>0</v>
      </c>
      <c r="K91" s="9">
        <v>0</v>
      </c>
      <c r="L91" s="5">
        <f t="shared" si="18"/>
        <v>65.569999999999993</v>
      </c>
      <c r="M91" s="9">
        <v>1</v>
      </c>
      <c r="N91" s="5">
        <f t="shared" si="19"/>
        <v>0</v>
      </c>
      <c r="O91" s="9">
        <v>0</v>
      </c>
      <c r="P91" s="5">
        <f t="shared" si="20"/>
        <v>0</v>
      </c>
      <c r="Q91" s="9">
        <v>0</v>
      </c>
      <c r="R91" s="5">
        <f t="shared" si="21"/>
        <v>0</v>
      </c>
      <c r="S91" s="9">
        <v>0</v>
      </c>
      <c r="T91" s="5">
        <f t="shared" si="22"/>
        <v>0</v>
      </c>
      <c r="U91" s="9">
        <v>0</v>
      </c>
      <c r="V91" s="5">
        <f t="shared" si="23"/>
        <v>0</v>
      </c>
      <c r="W91" s="9">
        <v>0</v>
      </c>
      <c r="X91" s="5">
        <f t="shared" si="24"/>
        <v>0</v>
      </c>
      <c r="Y91" s="9">
        <v>0</v>
      </c>
      <c r="Z91" s="5">
        <v>65.569999999999993</v>
      </c>
      <c r="AA91" s="5">
        <f t="shared" si="25"/>
        <v>65.569999999999993</v>
      </c>
      <c r="AB91" s="10">
        <f>C91+E91+G91+I91+K91+M91+O91+Q91+S91+U91+W91+Y91</f>
        <v>1</v>
      </c>
    </row>
    <row r="92" spans="1:28">
      <c r="A92" s="3" t="s">
        <v>93</v>
      </c>
      <c r="B92" s="6">
        <f t="shared" si="14"/>
        <v>0</v>
      </c>
      <c r="C92" s="9">
        <v>0</v>
      </c>
      <c r="D92" s="6">
        <f t="shared" si="15"/>
        <v>0</v>
      </c>
      <c r="E92" s="9">
        <v>0</v>
      </c>
      <c r="F92" s="6">
        <f t="shared" si="16"/>
        <v>0</v>
      </c>
      <c r="G92" s="9">
        <v>0</v>
      </c>
      <c r="H92" s="6">
        <f t="shared" si="13"/>
        <v>0</v>
      </c>
      <c r="I92" s="9">
        <v>0</v>
      </c>
      <c r="J92" s="6">
        <f t="shared" si="17"/>
        <v>0</v>
      </c>
      <c r="K92" s="9">
        <v>0</v>
      </c>
      <c r="L92" s="6">
        <f t="shared" si="18"/>
        <v>65.569999999999993</v>
      </c>
      <c r="M92" s="9">
        <v>1</v>
      </c>
      <c r="N92" s="6">
        <f t="shared" si="19"/>
        <v>0</v>
      </c>
      <c r="O92" s="9">
        <v>0</v>
      </c>
      <c r="P92" s="6">
        <f t="shared" si="20"/>
        <v>0</v>
      </c>
      <c r="Q92" s="9">
        <v>0</v>
      </c>
      <c r="R92" s="6">
        <f t="shared" si="21"/>
        <v>0</v>
      </c>
      <c r="S92" s="9">
        <v>0</v>
      </c>
      <c r="T92" s="6">
        <f t="shared" si="22"/>
        <v>0</v>
      </c>
      <c r="U92" s="9">
        <v>0</v>
      </c>
      <c r="V92" s="6">
        <f t="shared" si="23"/>
        <v>0</v>
      </c>
      <c r="W92" s="9">
        <v>0</v>
      </c>
      <c r="X92" s="6">
        <f t="shared" si="24"/>
        <v>0</v>
      </c>
      <c r="Y92" s="9">
        <v>0</v>
      </c>
      <c r="Z92" s="6">
        <f>Z91</f>
        <v>65.569999999999993</v>
      </c>
      <c r="AA92" s="6">
        <f t="shared" si="25"/>
        <v>65.569999999999993</v>
      </c>
      <c r="AB92" s="10">
        <f>C92+E92+G92+I92+K92+M92+O92+Q92+S92+U92+W92+Y92</f>
        <v>1</v>
      </c>
    </row>
    <row r="93" spans="1:28">
      <c r="A93" s="3" t="s">
        <v>94</v>
      </c>
      <c r="B93" s="5">
        <f t="shared" si="14"/>
        <v>117.54655426637095</v>
      </c>
      <c r="C93" s="9">
        <v>0.13813470292984709</v>
      </c>
      <c r="D93" s="5">
        <f t="shared" si="15"/>
        <v>32.073502089412862</v>
      </c>
      <c r="E93" s="9">
        <v>3.7691140422551651E-2</v>
      </c>
      <c r="F93" s="5">
        <f t="shared" si="16"/>
        <v>103.20337154196334</v>
      </c>
      <c r="G93" s="9">
        <v>0.12127932765262052</v>
      </c>
      <c r="H93" s="5">
        <f t="shared" si="13"/>
        <v>84.449958118361138</v>
      </c>
      <c r="I93" s="9">
        <v>9.9241274658573589E-2</v>
      </c>
      <c r="J93" s="5">
        <f t="shared" si="17"/>
        <v>0</v>
      </c>
      <c r="K93" s="9">
        <v>0</v>
      </c>
      <c r="L93" s="5">
        <f t="shared" si="18"/>
        <v>58.515020380529933</v>
      </c>
      <c r="M93" s="9">
        <v>6.8763861328352979E-2</v>
      </c>
      <c r="N93" s="5">
        <f t="shared" si="19"/>
        <v>79.066298120695663</v>
      </c>
      <c r="O93" s="9">
        <v>9.2914672580833413E-2</v>
      </c>
      <c r="P93" s="5">
        <f t="shared" si="20"/>
        <v>202.32429980156411</v>
      </c>
      <c r="Q93" s="9">
        <v>0.23776117660791407</v>
      </c>
      <c r="R93" s="5">
        <f t="shared" si="21"/>
        <v>27.196422645033262</v>
      </c>
      <c r="S93" s="9">
        <v>3.1959845920392201E-2</v>
      </c>
      <c r="T93" s="5">
        <f t="shared" si="22"/>
        <v>0</v>
      </c>
      <c r="U93" s="9">
        <v>0</v>
      </c>
      <c r="V93" s="5">
        <f t="shared" si="23"/>
        <v>23.829151908486047</v>
      </c>
      <c r="W93" s="9">
        <v>2.8002801447414495E-2</v>
      </c>
      <c r="X93" s="5">
        <f t="shared" si="24"/>
        <v>122.75142112758255</v>
      </c>
      <c r="Y93" s="9">
        <v>0.14425119645149992</v>
      </c>
      <c r="Z93" s="5">
        <v>850.9559999999999</v>
      </c>
      <c r="AA93" s="5">
        <f t="shared" si="25"/>
        <v>850.9559999999999</v>
      </c>
      <c r="AB93" s="10">
        <f>C93+E93+G93+I93+K93+M93+O93+Q93+S93+U93+W93+Y93</f>
        <v>1</v>
      </c>
    </row>
    <row r="94" spans="1:28">
      <c r="A94" s="3" t="s">
        <v>95</v>
      </c>
      <c r="B94" s="5">
        <f t="shared" si="14"/>
        <v>109.8901098901099</v>
      </c>
      <c r="C94" s="9">
        <v>7.8492935635792779E-2</v>
      </c>
      <c r="D94" s="5">
        <f t="shared" si="15"/>
        <v>114.3251367466614</v>
      </c>
      <c r="E94" s="9">
        <v>8.1660811961901003E-2</v>
      </c>
      <c r="F94" s="5">
        <f t="shared" si="16"/>
        <v>142.91627654856353</v>
      </c>
      <c r="G94" s="9">
        <v>0.10208305467754539</v>
      </c>
      <c r="H94" s="5">
        <f t="shared" si="13"/>
        <v>114.3251367466614</v>
      </c>
      <c r="I94" s="9">
        <v>8.1660811961901003E-2</v>
      </c>
      <c r="J94" s="5">
        <f t="shared" si="17"/>
        <v>114.3251367466614</v>
      </c>
      <c r="K94" s="9">
        <v>8.1660811961901003E-2</v>
      </c>
      <c r="L94" s="5">
        <f t="shared" si="18"/>
        <v>114.3251367466614</v>
      </c>
      <c r="M94" s="9">
        <v>8.1660811961901003E-2</v>
      </c>
      <c r="N94" s="5">
        <f t="shared" si="19"/>
        <v>114.3251367466614</v>
      </c>
      <c r="O94" s="9">
        <v>8.1660811961901003E-2</v>
      </c>
      <c r="P94" s="5">
        <f t="shared" si="20"/>
        <v>114.3251367466614</v>
      </c>
      <c r="Q94" s="9">
        <v>8.1660811961901003E-2</v>
      </c>
      <c r="R94" s="5">
        <f t="shared" si="21"/>
        <v>114.3251367466614</v>
      </c>
      <c r="S94" s="9">
        <v>8.1660811961901003E-2</v>
      </c>
      <c r="T94" s="5">
        <f t="shared" si="22"/>
        <v>114.3251367466614</v>
      </c>
      <c r="U94" s="9">
        <v>8.1660811961901003E-2</v>
      </c>
      <c r="V94" s="5">
        <f t="shared" si="23"/>
        <v>114.3251367466614</v>
      </c>
      <c r="W94" s="9">
        <v>8.1660811961901003E-2</v>
      </c>
      <c r="X94" s="5">
        <f t="shared" si="24"/>
        <v>118.26738284137387</v>
      </c>
      <c r="Y94" s="9">
        <v>8.4476702029552764E-2</v>
      </c>
      <c r="Z94" s="5">
        <v>1400</v>
      </c>
      <c r="AA94" s="5">
        <f t="shared" si="25"/>
        <v>1400</v>
      </c>
      <c r="AB94" s="10">
        <f>C94+E94+G94+I94+K94+M94+O94+Q94+S94+U94+W94+Y94</f>
        <v>1</v>
      </c>
    </row>
    <row r="95" spans="1:28">
      <c r="A95" s="3" t="s">
        <v>96</v>
      </c>
      <c r="B95" s="5">
        <f t="shared" si="14"/>
        <v>1109.7177790940359</v>
      </c>
      <c r="C95" s="9">
        <v>8.4530644151552273E-2</v>
      </c>
      <c r="D95" s="5">
        <f t="shared" si="15"/>
        <v>1071.1793224344078</v>
      </c>
      <c r="E95" s="9">
        <v>8.1595050411038733E-2</v>
      </c>
      <c r="F95" s="5">
        <f t="shared" si="16"/>
        <v>1077.7629754470943</v>
      </c>
      <c r="G95" s="9">
        <v>8.2096547675043124E-2</v>
      </c>
      <c r="H95" s="5">
        <f t="shared" si="13"/>
        <v>1039.2245187874664</v>
      </c>
      <c r="I95" s="9">
        <v>7.9160953934529599E-2</v>
      </c>
      <c r="J95" s="5">
        <f t="shared" si="17"/>
        <v>1100.5356998368745</v>
      </c>
      <c r="K95" s="9">
        <v>8.3831216703528402E-2</v>
      </c>
      <c r="L95" s="5">
        <f t="shared" si="18"/>
        <v>1068.3619276861853</v>
      </c>
      <c r="M95" s="9">
        <v>8.1380440717129993E-2</v>
      </c>
      <c r="N95" s="5">
        <f t="shared" si="19"/>
        <v>1023.6777550213666</v>
      </c>
      <c r="O95" s="9">
        <v>7.7976708732390626E-2</v>
      </c>
      <c r="P95" s="5">
        <f t="shared" si="20"/>
        <v>1088.4340405297414</v>
      </c>
      <c r="Q95" s="9">
        <v>8.2909395790314117E-2</v>
      </c>
      <c r="R95" s="5">
        <f t="shared" si="21"/>
        <v>1052.7275765185859</v>
      </c>
      <c r="S95" s="9">
        <v>8.0189523711035285E-2</v>
      </c>
      <c r="T95" s="5">
        <f t="shared" si="22"/>
        <v>1050.4794998801078</v>
      </c>
      <c r="U95" s="9">
        <v>8.0018280742838677E-2</v>
      </c>
      <c r="V95" s="5">
        <f t="shared" si="23"/>
        <v>1086.2005617915129</v>
      </c>
      <c r="W95" s="9">
        <v>8.2739264789443448E-2</v>
      </c>
      <c r="X95" s="5">
        <f t="shared" si="24"/>
        <v>1359.6922229726224</v>
      </c>
      <c r="Y95" s="9">
        <v>0.10357197264115593</v>
      </c>
      <c r="Z95" s="5">
        <v>13127.993879999998</v>
      </c>
      <c r="AA95" s="5">
        <f t="shared" si="25"/>
        <v>13127.99388</v>
      </c>
      <c r="AB95" s="10">
        <f>C95+E95+G95+I95+K95+M95+O95+Q95+S95+U95+W95+Y95</f>
        <v>1.0000000000000002</v>
      </c>
    </row>
    <row r="96" spans="1:28">
      <c r="A96" s="3" t="s">
        <v>97</v>
      </c>
      <c r="B96" s="5">
        <f t="shared" si="14"/>
        <v>0</v>
      </c>
      <c r="C96" s="9">
        <v>0</v>
      </c>
      <c r="D96" s="5">
        <f t="shared" si="15"/>
        <v>0</v>
      </c>
      <c r="E96" s="9">
        <v>0</v>
      </c>
      <c r="F96" s="5">
        <f t="shared" si="16"/>
        <v>0</v>
      </c>
      <c r="G96" s="9">
        <v>0</v>
      </c>
      <c r="H96" s="5">
        <f t="shared" si="13"/>
        <v>0</v>
      </c>
      <c r="I96" s="9">
        <v>0</v>
      </c>
      <c r="J96" s="5">
        <f t="shared" si="17"/>
        <v>0</v>
      </c>
      <c r="K96" s="9">
        <v>0</v>
      </c>
      <c r="L96" s="5">
        <f t="shared" si="18"/>
        <v>297.23450645721061</v>
      </c>
      <c r="M96" s="9">
        <v>0.23014887204310894</v>
      </c>
      <c r="N96" s="5">
        <f t="shared" si="19"/>
        <v>282.50194172983828</v>
      </c>
      <c r="O96" s="9">
        <v>0.21874143757420766</v>
      </c>
      <c r="P96" s="5">
        <f t="shared" si="20"/>
        <v>282.50194172983828</v>
      </c>
      <c r="Q96" s="9">
        <v>0.21874143757420766</v>
      </c>
      <c r="R96" s="5">
        <f t="shared" si="21"/>
        <v>337.23300684994058</v>
      </c>
      <c r="S96" s="9">
        <v>0.26111973696227964</v>
      </c>
      <c r="T96" s="5">
        <f t="shared" si="22"/>
        <v>70.006222303406688</v>
      </c>
      <c r="U96" s="9">
        <v>5.4205863549182567E-2</v>
      </c>
      <c r="V96" s="5">
        <f t="shared" si="23"/>
        <v>0</v>
      </c>
      <c r="W96" s="9">
        <v>0</v>
      </c>
      <c r="X96" s="5">
        <f t="shared" si="24"/>
        <v>22.010380929765272</v>
      </c>
      <c r="Y96" s="9">
        <v>1.7042652297013426E-2</v>
      </c>
      <c r="Z96" s="5">
        <v>1291.4879999999998</v>
      </c>
      <c r="AA96" s="5">
        <f t="shared" si="25"/>
        <v>1291.4879999999996</v>
      </c>
      <c r="AB96" s="10">
        <f>C96+E96+G96+I96+K96+M96+O96+Q96+S96+U96+W96+Y96</f>
        <v>0.99999999999999989</v>
      </c>
    </row>
    <row r="97" spans="1:28">
      <c r="A97" s="3" t="s">
        <v>98</v>
      </c>
      <c r="B97" s="5">
        <f t="shared" si="14"/>
        <v>776.46</v>
      </c>
      <c r="C97" s="9">
        <v>8.3333333333333329E-2</v>
      </c>
      <c r="D97" s="5">
        <f t="shared" si="15"/>
        <v>776.46</v>
      </c>
      <c r="E97" s="9">
        <v>8.3333333333333329E-2</v>
      </c>
      <c r="F97" s="5">
        <f t="shared" si="16"/>
        <v>776.46</v>
      </c>
      <c r="G97" s="9">
        <v>8.3333333333333329E-2</v>
      </c>
      <c r="H97" s="5">
        <f t="shared" si="13"/>
        <v>776.46</v>
      </c>
      <c r="I97" s="9">
        <v>8.3333333333333329E-2</v>
      </c>
      <c r="J97" s="5">
        <f t="shared" si="17"/>
        <v>776.46</v>
      </c>
      <c r="K97" s="9">
        <v>8.3333333333333329E-2</v>
      </c>
      <c r="L97" s="5">
        <f t="shared" si="18"/>
        <v>776.46</v>
      </c>
      <c r="M97" s="9">
        <v>8.3333333333333329E-2</v>
      </c>
      <c r="N97" s="5">
        <f t="shared" si="19"/>
        <v>776.46</v>
      </c>
      <c r="O97" s="9">
        <v>8.3333333333333329E-2</v>
      </c>
      <c r="P97" s="5">
        <f t="shared" si="20"/>
        <v>776.46</v>
      </c>
      <c r="Q97" s="9">
        <v>8.3333333333333329E-2</v>
      </c>
      <c r="R97" s="5">
        <f t="shared" si="21"/>
        <v>776.46</v>
      </c>
      <c r="S97" s="9">
        <v>8.3333333333333329E-2</v>
      </c>
      <c r="T97" s="5">
        <f t="shared" si="22"/>
        <v>776.46</v>
      </c>
      <c r="U97" s="9">
        <v>8.3333333333333329E-2</v>
      </c>
      <c r="V97" s="5">
        <f t="shared" si="23"/>
        <v>776.46</v>
      </c>
      <c r="W97" s="9">
        <v>8.3333333333333329E-2</v>
      </c>
      <c r="X97" s="5">
        <f t="shared" si="24"/>
        <v>776.46</v>
      </c>
      <c r="Y97" s="9">
        <v>8.3333333333333329E-2</v>
      </c>
      <c r="Z97" s="5">
        <v>9317.52</v>
      </c>
      <c r="AA97" s="5">
        <f t="shared" si="25"/>
        <v>9317.52</v>
      </c>
      <c r="AB97" s="10">
        <f>C97+E97+G97+I97+K97+M97+O97+Q97+S97+U97+W97+Y97</f>
        <v>1</v>
      </c>
    </row>
    <row r="98" spans="1:28">
      <c r="A98" s="3" t="s">
        <v>99</v>
      </c>
      <c r="B98" s="5">
        <f t="shared" si="14"/>
        <v>0</v>
      </c>
      <c r="C98" s="9">
        <v>0</v>
      </c>
      <c r="D98" s="5">
        <f t="shared" si="15"/>
        <v>0</v>
      </c>
      <c r="E98" s="9">
        <v>0</v>
      </c>
      <c r="F98" s="5">
        <f t="shared" si="16"/>
        <v>0</v>
      </c>
      <c r="G98" s="9">
        <v>0</v>
      </c>
      <c r="H98" s="5">
        <f t="shared" si="13"/>
        <v>473.33333333333331</v>
      </c>
      <c r="I98" s="9">
        <v>0.1111111111111111</v>
      </c>
      <c r="J98" s="5">
        <f t="shared" si="17"/>
        <v>473.33333333333331</v>
      </c>
      <c r="K98" s="9">
        <v>0.1111111111111111</v>
      </c>
      <c r="L98" s="5">
        <f t="shared" si="18"/>
        <v>473.33333333333331</v>
      </c>
      <c r="M98" s="9">
        <v>0.1111111111111111</v>
      </c>
      <c r="N98" s="5">
        <f t="shared" si="19"/>
        <v>473.33333333333331</v>
      </c>
      <c r="O98" s="9">
        <v>0.1111111111111111</v>
      </c>
      <c r="P98" s="5">
        <f t="shared" si="20"/>
        <v>473.33333333333331</v>
      </c>
      <c r="Q98" s="9">
        <v>0.1111111111111111</v>
      </c>
      <c r="R98" s="5">
        <f t="shared" si="21"/>
        <v>473.33333333333331</v>
      </c>
      <c r="S98" s="9">
        <v>0.1111111111111111</v>
      </c>
      <c r="T98" s="5">
        <f t="shared" si="22"/>
        <v>473.33333333333331</v>
      </c>
      <c r="U98" s="9">
        <v>0.1111111111111111</v>
      </c>
      <c r="V98" s="5">
        <f t="shared" si="23"/>
        <v>473.33333333333331</v>
      </c>
      <c r="W98" s="9">
        <v>0.1111111111111111</v>
      </c>
      <c r="X98" s="5">
        <f t="shared" si="24"/>
        <v>473.33333333333331</v>
      </c>
      <c r="Y98" s="9">
        <v>0.1111111111111111</v>
      </c>
      <c r="Z98" s="5">
        <v>4260</v>
      </c>
      <c r="AA98" s="5">
        <f t="shared" si="25"/>
        <v>4260</v>
      </c>
      <c r="AB98" s="10">
        <f>C98+E98+G98+I98+K98+M98+O98+Q98+S98+U98+W98+Y98</f>
        <v>1.0000000000000002</v>
      </c>
    </row>
    <row r="99" spans="1:28">
      <c r="A99" s="3" t="s">
        <v>100</v>
      </c>
      <c r="B99" s="5"/>
      <c r="C99" s="9"/>
      <c r="D99" s="5"/>
      <c r="E99" s="9"/>
      <c r="F99" s="5"/>
      <c r="G99" s="9"/>
      <c r="H99" s="5"/>
      <c r="I99" s="9"/>
      <c r="J99" s="5"/>
      <c r="K99" s="9"/>
      <c r="L99" s="5"/>
      <c r="M99" s="9"/>
      <c r="N99" s="5"/>
      <c r="O99" s="9"/>
      <c r="P99" s="5"/>
      <c r="Q99" s="9"/>
      <c r="R99" s="5"/>
      <c r="S99" s="9"/>
      <c r="T99" s="5"/>
      <c r="U99" s="9"/>
      <c r="V99" s="5"/>
      <c r="W99" s="9"/>
      <c r="X99" s="5">
        <f t="shared" si="24"/>
        <v>0</v>
      </c>
      <c r="Y99" s="9"/>
      <c r="Z99" s="5"/>
      <c r="AA99" s="5">
        <f t="shared" si="25"/>
        <v>0</v>
      </c>
      <c r="AB99" s="10"/>
    </row>
    <row r="100" spans="1:28">
      <c r="A100" s="3" t="s">
        <v>101</v>
      </c>
      <c r="B100" s="5">
        <f t="shared" si="14"/>
        <v>728.66848082127979</v>
      </c>
      <c r="C100" s="9">
        <v>6.0250910030782437E-2</v>
      </c>
      <c r="D100" s="5">
        <f t="shared" si="15"/>
        <v>1061.1692129951794</v>
      </c>
      <c r="E100" s="9">
        <v>8.7744169622303747E-2</v>
      </c>
      <c r="F100" s="5">
        <f t="shared" si="16"/>
        <v>730.21572522818872</v>
      </c>
      <c r="G100" s="9">
        <v>6.0378845965998448E-2</v>
      </c>
      <c r="H100" s="5">
        <f t="shared" si="13"/>
        <v>3259.5107932978872</v>
      </c>
      <c r="I100" s="9">
        <v>0.26951692946840033</v>
      </c>
      <c r="J100" s="5">
        <f t="shared" si="17"/>
        <v>782.97885037460196</v>
      </c>
      <c r="K100" s="9">
        <v>6.4741634243263291E-2</v>
      </c>
      <c r="L100" s="5">
        <f t="shared" si="18"/>
        <v>948.13673645802476</v>
      </c>
      <c r="M100" s="9">
        <v>7.8397930895577492E-2</v>
      </c>
      <c r="N100" s="5">
        <f t="shared" si="19"/>
        <v>689.98737064855766</v>
      </c>
      <c r="O100" s="9">
        <v>5.705251165038222E-2</v>
      </c>
      <c r="P100" s="5">
        <f t="shared" si="20"/>
        <v>747.49677255670485</v>
      </c>
      <c r="Q100" s="9">
        <v>6.1807752053242113E-2</v>
      </c>
      <c r="R100" s="5">
        <f t="shared" si="21"/>
        <v>835.29243829468339</v>
      </c>
      <c r="S100" s="9">
        <v>6.9067251944755895E-2</v>
      </c>
      <c r="T100" s="5">
        <f t="shared" si="22"/>
        <v>752.70304089887122</v>
      </c>
      <c r="U100" s="9">
        <v>6.2238239186604087E-2</v>
      </c>
      <c r="V100" s="5">
        <f t="shared" si="23"/>
        <v>832.16658641856338</v>
      </c>
      <c r="W100" s="9">
        <v>6.8808786778339764E-2</v>
      </c>
      <c r="X100" s="5">
        <f t="shared" si="24"/>
        <v>725.57399200746192</v>
      </c>
      <c r="Y100" s="9">
        <v>5.9995038160350414E-2</v>
      </c>
      <c r="Z100" s="5">
        <v>12093.900000000001</v>
      </c>
      <c r="AA100" s="5">
        <f t="shared" si="25"/>
        <v>12093.900000000003</v>
      </c>
      <c r="AB100" s="10">
        <f>C100+E100+G100+I100+K100+M100+O100+Q100+S100+U100+W100+Y100</f>
        <v>1.0000000000000002</v>
      </c>
    </row>
    <row r="101" spans="1:28">
      <c r="A101" s="3" t="s">
        <v>102</v>
      </c>
      <c r="B101" s="5">
        <f t="shared" si="14"/>
        <v>314.12681962648099</v>
      </c>
      <c r="C101" s="9">
        <v>0.10293192315416026</v>
      </c>
      <c r="D101" s="5">
        <f t="shared" si="15"/>
        <v>0</v>
      </c>
      <c r="E101" s="9">
        <v>0</v>
      </c>
      <c r="F101" s="5">
        <f t="shared" si="16"/>
        <v>314.1063912711694</v>
      </c>
      <c r="G101" s="9">
        <v>0.10292522926568044</v>
      </c>
      <c r="H101" s="5">
        <f t="shared" si="13"/>
        <v>314.1063912711694</v>
      </c>
      <c r="I101" s="9">
        <v>0.10292522926568044</v>
      </c>
      <c r="J101" s="5">
        <f t="shared" si="17"/>
        <v>314.1063912711694</v>
      </c>
      <c r="K101" s="9">
        <v>0.10292522926568044</v>
      </c>
      <c r="L101" s="5">
        <f t="shared" si="18"/>
        <v>314.02467784992297</v>
      </c>
      <c r="M101" s="9">
        <v>0.10289845371176116</v>
      </c>
      <c r="N101" s="5">
        <f t="shared" si="19"/>
        <v>314.02467784992297</v>
      </c>
      <c r="O101" s="9">
        <v>0.10289845371176116</v>
      </c>
      <c r="P101" s="5">
        <f t="shared" si="20"/>
        <v>314.02467784992297</v>
      </c>
      <c r="Q101" s="9">
        <v>0.10289845371176116</v>
      </c>
      <c r="R101" s="5">
        <f t="shared" si="21"/>
        <v>172.07825096726685</v>
      </c>
      <c r="S101" s="9">
        <v>5.6385969609746303E-2</v>
      </c>
      <c r="T101" s="5">
        <f t="shared" si="22"/>
        <v>227.02031257781644</v>
      </c>
      <c r="U101" s="9">
        <v>7.4389182676216623E-2</v>
      </c>
      <c r="V101" s="5">
        <f t="shared" si="23"/>
        <v>227.02031257781644</v>
      </c>
      <c r="W101" s="9">
        <v>7.4389182676216623E-2</v>
      </c>
      <c r="X101" s="5">
        <f t="shared" si="24"/>
        <v>227.15309688734183</v>
      </c>
      <c r="Y101" s="9">
        <v>7.4432692951335436E-2</v>
      </c>
      <c r="Z101" s="5">
        <v>3051.7919999999995</v>
      </c>
      <c r="AA101" s="5">
        <f t="shared" si="25"/>
        <v>3051.7919999999999</v>
      </c>
      <c r="AB101" s="10">
        <f>C101+E101+G101+I101+K101+M101+O101+Q101+S101+U101+W101+Y101</f>
        <v>1.0000000000000002</v>
      </c>
    </row>
    <row r="102" spans="1:28">
      <c r="A102" s="3" t="s">
        <v>103</v>
      </c>
      <c r="B102" s="5">
        <f t="shared" si="14"/>
        <v>604.70854012155689</v>
      </c>
      <c r="C102" s="9">
        <v>0.17553488183901667</v>
      </c>
      <c r="D102" s="5">
        <f t="shared" si="15"/>
        <v>187.03680844828634</v>
      </c>
      <c r="E102" s="9">
        <v>5.429307160755005E-2</v>
      </c>
      <c r="F102" s="5">
        <f t="shared" si="16"/>
        <v>232.7854582310967</v>
      </c>
      <c r="G102" s="9">
        <v>6.7572996234223762E-2</v>
      </c>
      <c r="H102" s="5">
        <f t="shared" si="13"/>
        <v>405.58492844447147</v>
      </c>
      <c r="I102" s="9">
        <v>0.11773325125501791</v>
      </c>
      <c r="J102" s="5">
        <f t="shared" si="17"/>
        <v>201.92129842114846</v>
      </c>
      <c r="K102" s="9">
        <v>5.8613743493703956E-2</v>
      </c>
      <c r="L102" s="5">
        <f t="shared" si="18"/>
        <v>313.16170408455224</v>
      </c>
      <c r="M102" s="9">
        <v>9.0904624419454877E-2</v>
      </c>
      <c r="N102" s="5">
        <f t="shared" si="19"/>
        <v>187.03680844828634</v>
      </c>
      <c r="O102" s="9">
        <v>5.429307160755005E-2</v>
      </c>
      <c r="P102" s="5">
        <f t="shared" si="20"/>
        <v>201.92129842114846</v>
      </c>
      <c r="Q102" s="9">
        <v>5.8613743493703956E-2</v>
      </c>
      <c r="R102" s="5">
        <f t="shared" si="21"/>
        <v>322.13222279060494</v>
      </c>
      <c r="S102" s="9">
        <v>9.3508587877264016E-2</v>
      </c>
      <c r="T102" s="5">
        <f t="shared" si="22"/>
        <v>201.92129842114846</v>
      </c>
      <c r="U102" s="9">
        <v>5.8613743493703956E-2</v>
      </c>
      <c r="V102" s="5">
        <f t="shared" si="23"/>
        <v>187.03680844828634</v>
      </c>
      <c r="W102" s="9">
        <v>5.429307160755005E-2</v>
      </c>
      <c r="X102" s="5">
        <f t="shared" si="24"/>
        <v>399.70082571941356</v>
      </c>
      <c r="Y102" s="9">
        <v>0.11602521307126074</v>
      </c>
      <c r="Z102" s="5">
        <v>3444.9480000000003</v>
      </c>
      <c r="AA102" s="5">
        <f t="shared" si="25"/>
        <v>3444.9479999999999</v>
      </c>
      <c r="AB102" s="10">
        <f>C102+E102+G102+I102+K102+M102+O102+Q102+S102+U102+W102+Y102</f>
        <v>1</v>
      </c>
    </row>
    <row r="103" spans="1:28">
      <c r="A103" s="3" t="s">
        <v>104</v>
      </c>
      <c r="B103" s="5">
        <f t="shared" si="14"/>
        <v>58.285714285714285</v>
      </c>
      <c r="C103" s="9">
        <v>0.11428571428571428</v>
      </c>
      <c r="D103" s="5">
        <f t="shared" si="15"/>
        <v>0</v>
      </c>
      <c r="E103" s="9">
        <v>0</v>
      </c>
      <c r="F103" s="5">
        <f t="shared" si="16"/>
        <v>174.85714285714286</v>
      </c>
      <c r="G103" s="9">
        <v>0.34285714285714286</v>
      </c>
      <c r="H103" s="5">
        <f t="shared" si="13"/>
        <v>0</v>
      </c>
      <c r="I103" s="9">
        <v>0</v>
      </c>
      <c r="J103" s="5">
        <f t="shared" si="17"/>
        <v>0</v>
      </c>
      <c r="K103" s="9">
        <v>0</v>
      </c>
      <c r="L103" s="5">
        <f t="shared" si="18"/>
        <v>14.571428571428571</v>
      </c>
      <c r="M103" s="9">
        <v>2.8571428571428571E-2</v>
      </c>
      <c r="N103" s="5">
        <f t="shared" si="19"/>
        <v>0</v>
      </c>
      <c r="O103" s="9">
        <v>0</v>
      </c>
      <c r="P103" s="5">
        <f t="shared" si="20"/>
        <v>0</v>
      </c>
      <c r="Q103" s="9">
        <v>0</v>
      </c>
      <c r="R103" s="5">
        <f t="shared" si="21"/>
        <v>0</v>
      </c>
      <c r="S103" s="9">
        <v>0</v>
      </c>
      <c r="T103" s="5">
        <f t="shared" si="22"/>
        <v>0</v>
      </c>
      <c r="U103" s="9">
        <v>0</v>
      </c>
      <c r="V103" s="5">
        <f t="shared" si="23"/>
        <v>262.28571428571428</v>
      </c>
      <c r="W103" s="9">
        <v>0.51428571428571423</v>
      </c>
      <c r="X103" s="5">
        <f t="shared" si="24"/>
        <v>0</v>
      </c>
      <c r="Y103" s="9">
        <v>0</v>
      </c>
      <c r="Z103" s="5">
        <v>510</v>
      </c>
      <c r="AA103" s="5">
        <f t="shared" si="25"/>
        <v>510</v>
      </c>
      <c r="AB103" s="10">
        <f>C103+E103+G103+I103+K103+M103+O103+Q103+S103+U103+W103+Y103</f>
        <v>1</v>
      </c>
    </row>
    <row r="104" spans="1:28">
      <c r="A104" s="3" t="s">
        <v>105</v>
      </c>
      <c r="B104" s="6">
        <f t="shared" si="14"/>
        <v>1730.8893359024305</v>
      </c>
      <c r="C104" s="9">
        <v>9.0619441856525776E-2</v>
      </c>
      <c r="D104" s="6">
        <f t="shared" si="15"/>
        <v>1216.2462343525024</v>
      </c>
      <c r="E104" s="9">
        <v>6.3675679681544833E-2</v>
      </c>
      <c r="F104" s="6">
        <f t="shared" si="16"/>
        <v>1556.881324553231</v>
      </c>
      <c r="G104" s="9">
        <v>8.1509380028796471E-2</v>
      </c>
      <c r="H104" s="6">
        <f t="shared" si="13"/>
        <v>3875.2322220716519</v>
      </c>
      <c r="I104" s="9">
        <v>0.20288494113661384</v>
      </c>
      <c r="J104" s="6">
        <f t="shared" si="17"/>
        <v>1273.2411884475312</v>
      </c>
      <c r="K104" s="9">
        <v>6.6659608706699416E-2</v>
      </c>
      <c r="L104" s="6">
        <f t="shared" si="18"/>
        <v>1571.1376462268145</v>
      </c>
      <c r="M104" s="9">
        <v>8.2255759295333269E-2</v>
      </c>
      <c r="N104" s="6">
        <f t="shared" si="19"/>
        <v>1168.1083992546796</v>
      </c>
      <c r="O104" s="9">
        <v>6.1155458626238682E-2</v>
      </c>
      <c r="P104" s="6">
        <f t="shared" si="20"/>
        <v>1238.8440208350978</v>
      </c>
      <c r="Q104" s="9">
        <v>6.4858770221055309E-2</v>
      </c>
      <c r="R104" s="6">
        <f t="shared" si="21"/>
        <v>1305.3229676463113</v>
      </c>
      <c r="S104" s="9">
        <v>6.8339226729905986E-2</v>
      </c>
      <c r="T104" s="6">
        <f t="shared" si="22"/>
        <v>1157.7548720250697</v>
      </c>
      <c r="U104" s="9">
        <v>6.0613407300753784E-2</v>
      </c>
      <c r="V104" s="6">
        <f t="shared" si="23"/>
        <v>1674.4808120606417</v>
      </c>
      <c r="W104" s="9">
        <v>8.7666214957228747E-2</v>
      </c>
      <c r="X104" s="6">
        <f t="shared" si="24"/>
        <v>1332.5009766240364</v>
      </c>
      <c r="Y104" s="9">
        <v>6.9762111459303791E-2</v>
      </c>
      <c r="Z104" s="6">
        <f>SUM(Z100:Z103)</f>
        <v>19100.64</v>
      </c>
      <c r="AA104" s="6">
        <f t="shared" si="25"/>
        <v>19100.64</v>
      </c>
      <c r="AB104" s="10">
        <f>C104+E104+G104+I104+K104+M104+O104+Q104+S104+U104+W104+Y104</f>
        <v>1</v>
      </c>
    </row>
    <row r="105" spans="1:28">
      <c r="A105" s="3" t="s">
        <v>106</v>
      </c>
      <c r="B105" s="5">
        <f t="shared" si="14"/>
        <v>108.36000000000003</v>
      </c>
      <c r="C105" s="9">
        <v>8.3333333333333356E-2</v>
      </c>
      <c r="D105" s="5">
        <f t="shared" si="15"/>
        <v>108.36000000000003</v>
      </c>
      <c r="E105" s="9">
        <v>8.3333333333333356E-2</v>
      </c>
      <c r="F105" s="5">
        <f t="shared" si="16"/>
        <v>108.36000000000003</v>
      </c>
      <c r="G105" s="9">
        <v>8.3333333333333356E-2</v>
      </c>
      <c r="H105" s="5">
        <f t="shared" si="13"/>
        <v>108.36000000000003</v>
      </c>
      <c r="I105" s="9">
        <v>8.3333333333333356E-2</v>
      </c>
      <c r="J105" s="5">
        <f t="shared" si="17"/>
        <v>108.36000000000003</v>
      </c>
      <c r="K105" s="9">
        <v>8.3333333333333356E-2</v>
      </c>
      <c r="L105" s="5">
        <f t="shared" si="18"/>
        <v>108.36000000000003</v>
      </c>
      <c r="M105" s="9">
        <v>8.3333333333333356E-2</v>
      </c>
      <c r="N105" s="5">
        <f t="shared" si="19"/>
        <v>108.36000000000003</v>
      </c>
      <c r="O105" s="9">
        <v>8.3333333333333356E-2</v>
      </c>
      <c r="P105" s="5">
        <f t="shared" si="20"/>
        <v>108.36000000000003</v>
      </c>
      <c r="Q105" s="9">
        <v>8.3333333333333356E-2</v>
      </c>
      <c r="R105" s="5">
        <f t="shared" si="21"/>
        <v>108.36000000000003</v>
      </c>
      <c r="S105" s="9">
        <v>8.3333333333333356E-2</v>
      </c>
      <c r="T105" s="5">
        <f t="shared" si="22"/>
        <v>108.36000000000003</v>
      </c>
      <c r="U105" s="9">
        <v>8.3333333333333356E-2</v>
      </c>
      <c r="V105" s="5">
        <f t="shared" si="23"/>
        <v>108.36000000000003</v>
      </c>
      <c r="W105" s="9">
        <v>8.3333333333333356E-2</v>
      </c>
      <c r="X105" s="5">
        <f t="shared" si="24"/>
        <v>108.36000000000003</v>
      </c>
      <c r="Y105" s="9">
        <v>8.3333333333333356E-2</v>
      </c>
      <c r="Z105" s="5">
        <v>1300.32</v>
      </c>
      <c r="AA105" s="5">
        <f t="shared" si="25"/>
        <v>1300.3200000000006</v>
      </c>
      <c r="AB105" s="10">
        <f>C105+E105+G105+I105+K105+M105+O105+Q105+S105+U105+W105+Y105</f>
        <v>1.0000000000000002</v>
      </c>
    </row>
    <row r="106" spans="1:28">
      <c r="A106" s="3" t="s">
        <v>107</v>
      </c>
      <c r="B106" s="5"/>
      <c r="C106" s="9"/>
      <c r="D106" s="5"/>
      <c r="E106" s="9"/>
      <c r="F106" s="5"/>
      <c r="G106" s="9"/>
      <c r="H106" s="5"/>
      <c r="I106" s="9"/>
      <c r="J106" s="5"/>
      <c r="K106" s="9"/>
      <c r="L106" s="5"/>
      <c r="M106" s="9"/>
      <c r="N106" s="5"/>
      <c r="O106" s="9"/>
      <c r="P106" s="5"/>
      <c r="Q106" s="9"/>
      <c r="R106" s="5"/>
      <c r="S106" s="9"/>
      <c r="T106" s="5"/>
      <c r="U106" s="9"/>
      <c r="V106" s="5"/>
      <c r="W106" s="9"/>
      <c r="X106" s="5"/>
      <c r="Y106" s="9"/>
      <c r="Z106" s="5"/>
      <c r="AA106" s="5"/>
      <c r="AB106" s="10"/>
    </row>
    <row r="107" spans="1:28">
      <c r="A107" s="3" t="s">
        <v>108</v>
      </c>
      <c r="B107" s="5">
        <f t="shared" si="14"/>
        <v>3128.6795626576954</v>
      </c>
      <c r="C107" s="9">
        <v>5.2144659377628258E-2</v>
      </c>
      <c r="D107" s="5">
        <f t="shared" si="15"/>
        <v>4390.2439024390242</v>
      </c>
      <c r="E107" s="9">
        <v>7.3170731707317069E-2</v>
      </c>
      <c r="F107" s="5">
        <f t="shared" si="16"/>
        <v>4642.5567703952902</v>
      </c>
      <c r="G107" s="9">
        <v>7.7375946173254842E-2</v>
      </c>
      <c r="H107" s="5">
        <f t="shared" si="13"/>
        <v>3835.1555929352398</v>
      </c>
      <c r="I107" s="9">
        <v>6.3919259882253998E-2</v>
      </c>
      <c r="J107" s="5">
        <f t="shared" si="17"/>
        <v>5349.0328006728341</v>
      </c>
      <c r="K107" s="9">
        <v>8.9150546677880568E-2</v>
      </c>
      <c r="L107" s="5">
        <f t="shared" si="18"/>
        <v>4793.9444911690498</v>
      </c>
      <c r="M107" s="9">
        <v>7.9899074852817498E-2</v>
      </c>
      <c r="N107" s="5">
        <f t="shared" si="19"/>
        <v>3784.6930193439866</v>
      </c>
      <c r="O107" s="9">
        <v>6.3078216989066446E-2</v>
      </c>
      <c r="P107" s="5">
        <f t="shared" si="20"/>
        <v>5248.1076534903277</v>
      </c>
      <c r="Q107" s="9">
        <v>8.7468460891505465E-2</v>
      </c>
      <c r="R107" s="5">
        <f t="shared" si="21"/>
        <v>4440.7064760302774</v>
      </c>
      <c r="S107" s="9">
        <v>7.4011774600504621E-2</v>
      </c>
      <c r="T107" s="5">
        <f t="shared" si="22"/>
        <v>4390.2439024390242</v>
      </c>
      <c r="U107" s="9">
        <v>7.3170731707317069E-2</v>
      </c>
      <c r="V107" s="5">
        <f t="shared" si="23"/>
        <v>5197.6450798990745</v>
      </c>
      <c r="W107" s="9">
        <v>8.6627417998317913E-2</v>
      </c>
      <c r="X107" s="5">
        <f t="shared" si="24"/>
        <v>10798.990748528175</v>
      </c>
      <c r="Y107" s="9">
        <v>0.17998317914213624</v>
      </c>
      <c r="Z107" s="5">
        <v>60000</v>
      </c>
      <c r="AA107" s="5">
        <f t="shared" si="25"/>
        <v>60000</v>
      </c>
      <c r="AB107" s="10">
        <f>C107+E107+G107+I107+K107+M107+O107+Q107+S107+U107+W107+Y107</f>
        <v>1</v>
      </c>
    </row>
    <row r="108" spans="1:28">
      <c r="A108" s="3" t="s">
        <v>109</v>
      </c>
      <c r="B108" s="5">
        <f t="shared" si="14"/>
        <v>7666.6599999999971</v>
      </c>
      <c r="C108" s="9">
        <v>8.3333333333333301E-2</v>
      </c>
      <c r="D108" s="5">
        <f t="shared" si="15"/>
        <v>7666.6599999999971</v>
      </c>
      <c r="E108" s="9">
        <v>8.3333333333333301E-2</v>
      </c>
      <c r="F108" s="5">
        <f t="shared" si="16"/>
        <v>7666.6599999999971</v>
      </c>
      <c r="G108" s="9">
        <v>8.3333333333333301E-2</v>
      </c>
      <c r="H108" s="5">
        <f t="shared" si="13"/>
        <v>7666.6599999999971</v>
      </c>
      <c r="I108" s="9">
        <v>8.3333333333333301E-2</v>
      </c>
      <c r="J108" s="5">
        <f t="shared" si="17"/>
        <v>7666.6599999999971</v>
      </c>
      <c r="K108" s="9">
        <v>8.3333333333333301E-2</v>
      </c>
      <c r="L108" s="5">
        <f t="shared" si="18"/>
        <v>7666.6599999999971</v>
      </c>
      <c r="M108" s="9">
        <v>8.3333333333333301E-2</v>
      </c>
      <c r="N108" s="5">
        <f t="shared" si="19"/>
        <v>7666.6599999999971</v>
      </c>
      <c r="O108" s="9">
        <v>8.3333333333333301E-2</v>
      </c>
      <c r="P108" s="5">
        <f t="shared" si="20"/>
        <v>7666.6599999999971</v>
      </c>
      <c r="Q108" s="9">
        <v>8.3333333333333301E-2</v>
      </c>
      <c r="R108" s="5">
        <f t="shared" si="21"/>
        <v>7666.6599999999971</v>
      </c>
      <c r="S108" s="9">
        <v>8.3333333333333301E-2</v>
      </c>
      <c r="T108" s="5">
        <f t="shared" si="22"/>
        <v>7666.6599999999971</v>
      </c>
      <c r="U108" s="9">
        <v>8.3333333333333301E-2</v>
      </c>
      <c r="V108" s="5">
        <f t="shared" si="23"/>
        <v>7666.6599999999971</v>
      </c>
      <c r="W108" s="9">
        <v>8.3333333333333301E-2</v>
      </c>
      <c r="X108" s="5">
        <f t="shared" si="24"/>
        <v>7666.6599999999971</v>
      </c>
      <c r="Y108" s="9">
        <v>8.3333333333333301E-2</v>
      </c>
      <c r="Z108" s="5">
        <v>91999.92</v>
      </c>
      <c r="AA108" s="5">
        <f t="shared" si="25"/>
        <v>91999.919999999984</v>
      </c>
      <c r="AB108" s="10">
        <f>C108+E108+G108+I108+K108+M108+O108+Q108+S108+U108+W108+Y108</f>
        <v>0.99999999999999944</v>
      </c>
    </row>
    <row r="109" spans="1:28">
      <c r="A109" s="3" t="s">
        <v>110</v>
      </c>
      <c r="B109" s="6">
        <f t="shared" si="14"/>
        <v>11692.974113880882</v>
      </c>
      <c r="C109" s="9">
        <v>7.6927501763690953E-2</v>
      </c>
      <c r="D109" s="6">
        <f t="shared" si="15"/>
        <v>12349.39156519714</v>
      </c>
      <c r="E109" s="9">
        <v>8.1246039900528505E-2</v>
      </c>
      <c r="F109" s="6">
        <f t="shared" si="16"/>
        <v>12480.67505546039</v>
      </c>
      <c r="G109" s="9">
        <v>8.2109747527896002E-2</v>
      </c>
      <c r="H109" s="6">
        <f t="shared" si="13"/>
        <v>12060.567886617986</v>
      </c>
      <c r="I109" s="9">
        <v>7.9345883120319982E-2</v>
      </c>
      <c r="J109" s="6">
        <f t="shared" si="17"/>
        <v>12848.268828197493</v>
      </c>
      <c r="K109" s="9">
        <v>8.4528128884525031E-2</v>
      </c>
      <c r="L109" s="6">
        <f t="shared" si="18"/>
        <v>12559.445149618339</v>
      </c>
      <c r="M109" s="9">
        <v>8.2627972104316508E-2</v>
      </c>
      <c r="N109" s="6">
        <f t="shared" si="19"/>
        <v>12034.311188565336</v>
      </c>
      <c r="O109" s="9">
        <v>7.917314159484648E-2</v>
      </c>
      <c r="P109" s="6">
        <f t="shared" si="20"/>
        <v>12795.755432092192</v>
      </c>
      <c r="Q109" s="9">
        <v>8.4182645833578026E-2</v>
      </c>
      <c r="R109" s="6">
        <f t="shared" si="21"/>
        <v>12375.64826324979</v>
      </c>
      <c r="S109" s="9">
        <v>8.1418781426002007E-2</v>
      </c>
      <c r="T109" s="6">
        <f t="shared" si="22"/>
        <v>12349.39156519714</v>
      </c>
      <c r="U109" s="9">
        <v>8.1246039900528505E-2</v>
      </c>
      <c r="V109" s="6">
        <f t="shared" si="23"/>
        <v>12769.498734039542</v>
      </c>
      <c r="W109" s="9">
        <v>8.4009904308104524E-2</v>
      </c>
      <c r="X109" s="6">
        <f t="shared" si="24"/>
        <v>15683.992217883719</v>
      </c>
      <c r="Y109" s="9">
        <v>0.10318421363566323</v>
      </c>
      <c r="Z109" s="6">
        <f>SUM(Z107:Z108)</f>
        <v>151999.91999999998</v>
      </c>
      <c r="AA109" s="6">
        <f t="shared" si="25"/>
        <v>151999.91999999998</v>
      </c>
      <c r="AB109" s="10">
        <f>C109+E109+G109+I109+K109+M109+O109+Q109+S109+U109+W109+Y109</f>
        <v>0.99999999999999967</v>
      </c>
    </row>
    <row r="110" spans="1:28">
      <c r="A110" s="3" t="s">
        <v>111</v>
      </c>
      <c r="B110" s="5">
        <f t="shared" si="14"/>
        <v>165.79636363636362</v>
      </c>
      <c r="C110" s="9">
        <v>9.0909090909090898E-2</v>
      </c>
      <c r="D110" s="5">
        <f t="shared" si="15"/>
        <v>165.79636363636362</v>
      </c>
      <c r="E110" s="9">
        <v>9.0909090909090898E-2</v>
      </c>
      <c r="F110" s="5">
        <f t="shared" si="16"/>
        <v>165.79636363636362</v>
      </c>
      <c r="G110" s="9">
        <v>9.0909090909090898E-2</v>
      </c>
      <c r="H110" s="5">
        <f t="shared" si="13"/>
        <v>165.79636363636362</v>
      </c>
      <c r="I110" s="9">
        <v>9.0909090909090898E-2</v>
      </c>
      <c r="J110" s="5">
        <f t="shared" si="17"/>
        <v>165.79636363636362</v>
      </c>
      <c r="K110" s="9">
        <v>9.0909090909090898E-2</v>
      </c>
      <c r="L110" s="5">
        <f t="shared" si="18"/>
        <v>165.79636363636362</v>
      </c>
      <c r="M110" s="9">
        <v>9.0909090909090898E-2</v>
      </c>
      <c r="N110" s="5">
        <f t="shared" si="19"/>
        <v>165.79636363636362</v>
      </c>
      <c r="O110" s="9">
        <v>9.0909090909090898E-2</v>
      </c>
      <c r="P110" s="5">
        <f t="shared" si="20"/>
        <v>165.79636363636362</v>
      </c>
      <c r="Q110" s="9">
        <v>9.0909090909090898E-2</v>
      </c>
      <c r="R110" s="5">
        <f t="shared" si="21"/>
        <v>165.79636363636362</v>
      </c>
      <c r="S110" s="9">
        <v>9.0909090909090898E-2</v>
      </c>
      <c r="T110" s="5">
        <f t="shared" si="22"/>
        <v>165.79636363636362</v>
      </c>
      <c r="U110" s="9">
        <v>9.0909090909090898E-2</v>
      </c>
      <c r="V110" s="5">
        <f t="shared" si="23"/>
        <v>0</v>
      </c>
      <c r="W110" s="9">
        <v>0</v>
      </c>
      <c r="X110" s="5">
        <f t="shared" si="24"/>
        <v>165.79636363636362</v>
      </c>
      <c r="Y110" s="9">
        <v>9.0909090909090898E-2</v>
      </c>
      <c r="Z110" s="5">
        <v>1823.76</v>
      </c>
      <c r="AA110" s="5">
        <f t="shared" si="25"/>
        <v>1823.7599999999998</v>
      </c>
      <c r="AB110" s="10">
        <f>C110+E110+G110+I110+K110+M110+O110+Q110+S110+U110+W110+Y110</f>
        <v>1</v>
      </c>
    </row>
    <row r="111" spans="1:28">
      <c r="A111" s="3" t="s">
        <v>112</v>
      </c>
      <c r="B111" s="6">
        <f t="shared" si="14"/>
        <v>18691.017018576687</v>
      </c>
      <c r="C111" s="9">
        <v>8.1444551026059894E-2</v>
      </c>
      <c r="D111" s="6">
        <f t="shared" si="15"/>
        <v>16847.442768579553</v>
      </c>
      <c r="E111" s="9">
        <v>7.3411329670314981E-2</v>
      </c>
      <c r="F111" s="6">
        <f t="shared" si="16"/>
        <v>18959.677913843228</v>
      </c>
      <c r="G111" s="9">
        <v>8.2615218516838784E-2</v>
      </c>
      <c r="H111" s="6">
        <f t="shared" si="13"/>
        <v>22679.715144753747</v>
      </c>
      <c r="I111" s="9">
        <v>9.8824971136003956E-2</v>
      </c>
      <c r="J111" s="6">
        <f t="shared" si="17"/>
        <v>18964.713156440564</v>
      </c>
      <c r="K111" s="9">
        <v>8.2637159167379085E-2</v>
      </c>
      <c r="L111" s="6">
        <f t="shared" si="18"/>
        <v>18933.605182052645</v>
      </c>
      <c r="M111" s="9">
        <v>8.2501608758065545E-2</v>
      </c>
      <c r="N111" s="6">
        <f t="shared" si="19"/>
        <v>17934.588488582525</v>
      </c>
      <c r="O111" s="9">
        <v>7.8148476663308694E-2</v>
      </c>
      <c r="P111" s="6">
        <f t="shared" si="20"/>
        <v>19494.727704667766</v>
      </c>
      <c r="Q111" s="9">
        <v>8.4946653448762566E-2</v>
      </c>
      <c r="R111" s="6">
        <f t="shared" si="21"/>
        <v>18620.904335678686</v>
      </c>
      <c r="S111" s="9">
        <v>8.1139040845731827E-2</v>
      </c>
      <c r="T111" s="6">
        <f t="shared" si="22"/>
        <v>18073.78224370005</v>
      </c>
      <c r="U111" s="9">
        <v>7.8755001866293153E-2</v>
      </c>
      <c r="V111" s="6">
        <f t="shared" si="23"/>
        <v>18442.054974837276</v>
      </c>
      <c r="W111" s="9">
        <v>8.0359719641297137E-2</v>
      </c>
      <c r="X111" s="6">
        <f t="shared" si="24"/>
        <v>21851.540548287325</v>
      </c>
      <c r="Y111" s="9">
        <v>9.5216269259944544E-2</v>
      </c>
      <c r="Z111" s="6">
        <f>Z79+Z80+Z81+Z82+Z83+Z86+Z87+Z88+Z89+Z92+Z93+Z94+Z95+Z96+Z97+Z98+Z104+Z105+Z109+Z110</f>
        <v>229493.76948000002</v>
      </c>
      <c r="AA111" s="6">
        <f t="shared" si="25"/>
        <v>229493.76948000008</v>
      </c>
      <c r="AB111" s="10">
        <f>C111+E111+G111+I111+K111+M111+O111+Q111+S111+U111+W111+Y111</f>
        <v>1.0000000000000002</v>
      </c>
    </row>
    <row r="112" spans="1:28">
      <c r="A112" s="3" t="s">
        <v>113</v>
      </c>
      <c r="B112" s="6">
        <f t="shared" si="14"/>
        <v>-76.735134712464514</v>
      </c>
      <c r="C112" s="9">
        <v>-0.10488838003153129</v>
      </c>
      <c r="D112" s="6">
        <f t="shared" si="15"/>
        <v>-220.15244765185926</v>
      </c>
      <c r="E112" s="9">
        <v>-0.30092386858648656</v>
      </c>
      <c r="F112" s="6">
        <f t="shared" si="16"/>
        <v>-221.18833857969065</v>
      </c>
      <c r="G112" s="9">
        <v>-0.30233981607542665</v>
      </c>
      <c r="H112" s="6">
        <f t="shared" si="13"/>
        <v>1046.5728735608143</v>
      </c>
      <c r="I112" s="9">
        <v>1.4305485186684288</v>
      </c>
      <c r="J112" s="6">
        <f t="shared" si="17"/>
        <v>-610.3996351761466</v>
      </c>
      <c r="K112" s="9">
        <v>-0.83434829619272144</v>
      </c>
      <c r="L112" s="6">
        <f t="shared" si="18"/>
        <v>-117.61270564870186</v>
      </c>
      <c r="M112" s="9">
        <v>-0.16076346529973357</v>
      </c>
      <c r="N112" s="6">
        <f t="shared" si="19"/>
        <v>-469.67481035052026</v>
      </c>
      <c r="O112" s="9">
        <v>-0.64199313891711496</v>
      </c>
      <c r="P112" s="6">
        <f t="shared" si="20"/>
        <v>-36.157304329557952</v>
      </c>
      <c r="Q112" s="9">
        <v>-4.9423006705406523E-2</v>
      </c>
      <c r="R112" s="6">
        <f t="shared" si="21"/>
        <v>397.46529207538731</v>
      </c>
      <c r="S112" s="9">
        <v>0.54329077235300605</v>
      </c>
      <c r="T112" s="6">
        <f t="shared" si="22"/>
        <v>337.06265255639988</v>
      </c>
      <c r="U112" s="9">
        <v>0.46072709363510017</v>
      </c>
      <c r="V112" s="6">
        <f t="shared" si="23"/>
        <v>-480.28272689334398</v>
      </c>
      <c r="W112" s="9">
        <v>-0.65649297899500991</v>
      </c>
      <c r="X112" s="6">
        <f t="shared" si="24"/>
        <v>1182.6908051496739</v>
      </c>
      <c r="Y112" s="9">
        <v>1.6166065661468958</v>
      </c>
      <c r="Z112" s="6">
        <f>Z76-Z111</f>
        <v>731.58851999999024</v>
      </c>
      <c r="AA112" s="6">
        <f t="shared" si="25"/>
        <v>731.58851999999035</v>
      </c>
      <c r="AB112" s="10">
        <f>C112+E112+G112+I112+K112+M112+O112+Q112+S112+U112+W112+Y112</f>
        <v>1</v>
      </c>
    </row>
    <row r="113" spans="1:28">
      <c r="A113" s="3" t="s">
        <v>114</v>
      </c>
      <c r="B113" s="4"/>
      <c r="C113" s="9"/>
      <c r="D113" s="4"/>
      <c r="E113" s="9"/>
      <c r="F113" s="4"/>
      <c r="G113" s="9"/>
      <c r="H113" s="4"/>
      <c r="I113" s="9"/>
      <c r="J113" s="4"/>
      <c r="K113" s="9"/>
      <c r="L113" s="4"/>
      <c r="M113" s="9"/>
      <c r="N113" s="4"/>
      <c r="O113" s="9"/>
      <c r="P113" s="4"/>
      <c r="Q113" s="9"/>
      <c r="R113" s="4"/>
      <c r="S113" s="9"/>
      <c r="T113" s="4"/>
      <c r="U113" s="9"/>
      <c r="V113" s="4"/>
      <c r="W113" s="9"/>
      <c r="X113" s="4">
        <f t="shared" si="24"/>
        <v>0</v>
      </c>
      <c r="Y113" s="9"/>
      <c r="Z113" s="4"/>
      <c r="AA113" s="4"/>
      <c r="AB113" s="10"/>
    </row>
    <row r="114" spans="1:28">
      <c r="A114" s="3" t="s">
        <v>115</v>
      </c>
      <c r="B114" s="5">
        <f t="shared" si="14"/>
        <v>0</v>
      </c>
      <c r="C114" s="9">
        <v>0</v>
      </c>
      <c r="D114" s="5">
        <f t="shared" si="15"/>
        <v>0</v>
      </c>
      <c r="E114" s="9">
        <v>0</v>
      </c>
      <c r="F114" s="5">
        <f t="shared" si="16"/>
        <v>0</v>
      </c>
      <c r="G114" s="9">
        <v>0</v>
      </c>
      <c r="H114" s="5">
        <f t="shared" si="13"/>
        <v>2500</v>
      </c>
      <c r="I114" s="9">
        <v>1</v>
      </c>
      <c r="J114" s="5">
        <f t="shared" si="17"/>
        <v>0</v>
      </c>
      <c r="K114" s="9">
        <v>0</v>
      </c>
      <c r="L114" s="5">
        <f t="shared" si="18"/>
        <v>0</v>
      </c>
      <c r="M114" s="9">
        <v>0</v>
      </c>
      <c r="N114" s="5">
        <f t="shared" si="19"/>
        <v>0</v>
      </c>
      <c r="O114" s="9">
        <v>0</v>
      </c>
      <c r="P114" s="5">
        <f t="shared" si="20"/>
        <v>0</v>
      </c>
      <c r="Q114" s="9">
        <v>0</v>
      </c>
      <c r="R114" s="5">
        <f t="shared" si="21"/>
        <v>0</v>
      </c>
      <c r="S114" s="9">
        <v>0</v>
      </c>
      <c r="T114" s="5">
        <f t="shared" si="22"/>
        <v>0</v>
      </c>
      <c r="U114" s="9">
        <v>0</v>
      </c>
      <c r="V114" s="5">
        <f t="shared" si="23"/>
        <v>0</v>
      </c>
      <c r="W114" s="9">
        <v>0</v>
      </c>
      <c r="X114" s="5">
        <f t="shared" si="24"/>
        <v>0</v>
      </c>
      <c r="Y114" s="9">
        <v>0</v>
      </c>
      <c r="Z114" s="5">
        <v>2500</v>
      </c>
      <c r="AA114" s="5">
        <f t="shared" si="25"/>
        <v>2500</v>
      </c>
      <c r="AB114" s="10">
        <f>C114+E114+G114+I114+K114+M114+O114+Q114+S114+U114+W114+Y114</f>
        <v>1</v>
      </c>
    </row>
    <row r="115" spans="1:28">
      <c r="A115" s="3" t="s">
        <v>116</v>
      </c>
      <c r="B115" s="5">
        <f t="shared" si="14"/>
        <v>7.54</v>
      </c>
      <c r="C115" s="9">
        <v>8.2639193336256037E-2</v>
      </c>
      <c r="D115" s="5">
        <f t="shared" si="15"/>
        <v>13.250000000000002</v>
      </c>
      <c r="E115" s="9">
        <v>0.14522139412538362</v>
      </c>
      <c r="F115" s="5">
        <f t="shared" si="16"/>
        <v>1.63</v>
      </c>
      <c r="G115" s="9">
        <v>1.7864971503726436E-2</v>
      </c>
      <c r="H115" s="5">
        <f t="shared" si="13"/>
        <v>7.43</v>
      </c>
      <c r="I115" s="9">
        <v>8.1433581762384924E-2</v>
      </c>
      <c r="J115" s="5">
        <f t="shared" si="17"/>
        <v>13.49</v>
      </c>
      <c r="K115" s="9">
        <v>0.14785181937746603</v>
      </c>
      <c r="L115" s="5">
        <f t="shared" si="18"/>
        <v>1.72</v>
      </c>
      <c r="M115" s="9">
        <v>1.8851380973257344E-2</v>
      </c>
      <c r="N115" s="5">
        <f t="shared" si="19"/>
        <v>13.739999999999998</v>
      </c>
      <c r="O115" s="9">
        <v>0.15059184568171854</v>
      </c>
      <c r="P115" s="5">
        <f t="shared" si="20"/>
        <v>7.87</v>
      </c>
      <c r="Q115" s="9">
        <v>8.6256028057869361E-2</v>
      </c>
      <c r="R115" s="5">
        <f t="shared" si="21"/>
        <v>2.0699999999999998</v>
      </c>
      <c r="S115" s="9">
        <v>2.2687417799210872E-2</v>
      </c>
      <c r="T115" s="5">
        <f t="shared" si="22"/>
        <v>1.7800000000000002</v>
      </c>
      <c r="U115" s="9">
        <v>1.9508987286277951E-2</v>
      </c>
      <c r="V115" s="5">
        <f t="shared" si="23"/>
        <v>13.089999999999998</v>
      </c>
      <c r="W115" s="9">
        <v>0.14346777729066199</v>
      </c>
      <c r="X115" s="5">
        <f t="shared" si="24"/>
        <v>7.6300000000000008</v>
      </c>
      <c r="Y115" s="9">
        <v>8.3625602805786944E-2</v>
      </c>
      <c r="Z115" s="5">
        <v>91.24</v>
      </c>
      <c r="AA115" s="5">
        <f t="shared" si="25"/>
        <v>91.24</v>
      </c>
      <c r="AB115" s="10">
        <f>C115+E115+G115+I115+K115+M115+O115+Q115+S115+U115+W115+Y115</f>
        <v>1</v>
      </c>
    </row>
    <row r="116" spans="1:28">
      <c r="A116" s="3" t="s">
        <v>117</v>
      </c>
      <c r="B116" s="5">
        <f t="shared" si="14"/>
        <v>-180.15</v>
      </c>
      <c r="C116" s="9">
        <v>-7.5347249814925576E-2</v>
      </c>
      <c r="D116" s="5">
        <f t="shared" si="15"/>
        <v>46.530000000000008</v>
      </c>
      <c r="E116" s="9">
        <v>1.9461046538376284E-2</v>
      </c>
      <c r="F116" s="5">
        <f t="shared" si="16"/>
        <v>802.69</v>
      </c>
      <c r="G116" s="9">
        <v>0.33572291953340339</v>
      </c>
      <c r="H116" s="5">
        <f t="shared" si="13"/>
        <v>724.25</v>
      </c>
      <c r="I116" s="9">
        <v>0.30291560187876687</v>
      </c>
      <c r="J116" s="5">
        <f t="shared" si="17"/>
        <v>161.97000000000003</v>
      </c>
      <c r="K116" s="9">
        <v>6.7743514030105451E-2</v>
      </c>
      <c r="L116" s="5">
        <f t="shared" si="18"/>
        <v>-397.98</v>
      </c>
      <c r="M116" s="9">
        <v>-0.16645405762611204</v>
      </c>
      <c r="N116" s="5">
        <f t="shared" si="19"/>
        <v>682.06</v>
      </c>
      <c r="O116" s="9">
        <v>0.28526974859155224</v>
      </c>
      <c r="P116" s="5">
        <f t="shared" si="20"/>
        <v>363.64</v>
      </c>
      <c r="Q116" s="9">
        <v>0.15209144558811843</v>
      </c>
      <c r="R116" s="5">
        <f t="shared" si="21"/>
        <v>-98.18</v>
      </c>
      <c r="S116" s="9">
        <v>-4.1063519216371878E-2</v>
      </c>
      <c r="T116" s="5">
        <f t="shared" si="22"/>
        <v>669.55</v>
      </c>
      <c r="U116" s="9">
        <v>0.28003747495744336</v>
      </c>
      <c r="V116" s="5">
        <f t="shared" si="23"/>
        <v>255.97</v>
      </c>
      <c r="W116" s="9">
        <v>0.10705875956217874</v>
      </c>
      <c r="X116" s="5">
        <f t="shared" si="24"/>
        <v>-639.41999999999996</v>
      </c>
      <c r="Y116" s="9">
        <v>-0.26743568402253515</v>
      </c>
      <c r="Z116" s="5">
        <v>2390.9299999999998</v>
      </c>
      <c r="AA116" s="5">
        <f t="shared" si="25"/>
        <v>2390.9299999999998</v>
      </c>
      <c r="AB116" s="10">
        <f>C116+E116+G116+I116+K116+M116+O116+Q116+S116+U116+W116+Y116</f>
        <v>1.0000000000000002</v>
      </c>
    </row>
    <row r="117" spans="1:28">
      <c r="A117" s="3" t="s">
        <v>118</v>
      </c>
      <c r="B117" s="5">
        <f t="shared" si="14"/>
        <v>3880</v>
      </c>
      <c r="C117" s="9">
        <v>0.418554476806904</v>
      </c>
      <c r="D117" s="5">
        <f t="shared" si="15"/>
        <v>1634.9999999999998</v>
      </c>
      <c r="E117" s="9">
        <v>0.17637540453074432</v>
      </c>
      <c r="F117" s="5">
        <f t="shared" si="16"/>
        <v>2350</v>
      </c>
      <c r="G117" s="9">
        <v>0.25350593311758363</v>
      </c>
      <c r="H117" s="5">
        <f t="shared" si="13"/>
        <v>705</v>
      </c>
      <c r="I117" s="9">
        <v>7.605177993527508E-2</v>
      </c>
      <c r="J117" s="5">
        <f t="shared" si="17"/>
        <v>500</v>
      </c>
      <c r="K117" s="9">
        <v>5.3937432578209279E-2</v>
      </c>
      <c r="L117" s="5">
        <f t="shared" si="18"/>
        <v>0</v>
      </c>
      <c r="M117" s="9">
        <v>0</v>
      </c>
      <c r="N117" s="5">
        <f t="shared" si="19"/>
        <v>200.00000000000003</v>
      </c>
      <c r="O117" s="9">
        <v>2.1574973031283712E-2</v>
      </c>
      <c r="P117" s="5">
        <f t="shared" si="20"/>
        <v>0</v>
      </c>
      <c r="Q117" s="9">
        <v>0</v>
      </c>
      <c r="R117" s="5">
        <f t="shared" si="21"/>
        <v>0</v>
      </c>
      <c r="S117" s="9">
        <v>0</v>
      </c>
      <c r="T117" s="5">
        <f t="shared" si="22"/>
        <v>0</v>
      </c>
      <c r="U117" s="9">
        <v>0</v>
      </c>
      <c r="V117" s="5">
        <f t="shared" si="23"/>
        <v>0</v>
      </c>
      <c r="W117" s="9">
        <v>0</v>
      </c>
      <c r="X117" s="5">
        <f t="shared" si="24"/>
        <v>0</v>
      </c>
      <c r="Y117" s="9">
        <v>0</v>
      </c>
      <c r="Z117" s="5">
        <v>9270</v>
      </c>
      <c r="AA117" s="5">
        <f t="shared" si="25"/>
        <v>9270</v>
      </c>
      <c r="AB117" s="10">
        <f>C117+E117+G117+I117+K117+M117+O117+Q117+S117+U117+W117+Y117</f>
        <v>1</v>
      </c>
    </row>
    <row r="118" spans="1:28">
      <c r="A118" s="3" t="s">
        <v>119</v>
      </c>
      <c r="B118" s="6">
        <f t="shared" si="14"/>
        <v>3707.3900000000003</v>
      </c>
      <c r="C118" s="9">
        <v>0.26012810680759496</v>
      </c>
      <c r="D118" s="6">
        <f t="shared" si="15"/>
        <v>1694.78</v>
      </c>
      <c r="E118" s="9">
        <v>0.11891382154436834</v>
      </c>
      <c r="F118" s="6">
        <f t="shared" si="16"/>
        <v>3154.32</v>
      </c>
      <c r="G118" s="9">
        <v>0.22132208639105488</v>
      </c>
      <c r="H118" s="6">
        <f t="shared" si="13"/>
        <v>3936.6800000000003</v>
      </c>
      <c r="I118" s="9">
        <v>0.2762161832198185</v>
      </c>
      <c r="J118" s="6">
        <f t="shared" si="17"/>
        <v>675.46</v>
      </c>
      <c r="K118" s="9">
        <v>4.7393484641286211E-2</v>
      </c>
      <c r="L118" s="6">
        <f t="shared" si="18"/>
        <v>-396.26</v>
      </c>
      <c r="M118" s="9">
        <v>-2.7803485363983173E-2</v>
      </c>
      <c r="N118" s="6">
        <f t="shared" si="19"/>
        <v>895.8</v>
      </c>
      <c r="O118" s="9">
        <v>6.2853586506475864E-2</v>
      </c>
      <c r="P118" s="6">
        <f t="shared" si="20"/>
        <v>371.51</v>
      </c>
      <c r="Q118" s="9">
        <v>2.6066907705984424E-2</v>
      </c>
      <c r="R118" s="6">
        <f t="shared" si="21"/>
        <v>-96.110000000000014</v>
      </c>
      <c r="S118" s="9">
        <v>-6.7435344933438222E-3</v>
      </c>
      <c r="T118" s="6">
        <f t="shared" si="22"/>
        <v>671.32999999999993</v>
      </c>
      <c r="U118" s="9">
        <v>4.7103704207850455E-2</v>
      </c>
      <c r="V118" s="6">
        <f t="shared" si="23"/>
        <v>269.06</v>
      </c>
      <c r="W118" s="9">
        <v>1.8878528673177492E-2</v>
      </c>
      <c r="X118" s="6">
        <f t="shared" si="24"/>
        <v>-631.79</v>
      </c>
      <c r="Y118" s="9">
        <v>-4.4329389840283971E-2</v>
      </c>
      <c r="Z118" s="6">
        <v>14252.169999999998</v>
      </c>
      <c r="AA118" s="6">
        <f t="shared" si="25"/>
        <v>14252.169999999998</v>
      </c>
      <c r="AB118" s="10">
        <f>C118+E118+G118+I118+K118+M118+O118+Q118+S118+U118+W118+Y118</f>
        <v>1.0000000000000002</v>
      </c>
    </row>
    <row r="119" spans="1:28">
      <c r="A119" s="3" t="s">
        <v>120</v>
      </c>
      <c r="B119" s="4"/>
      <c r="C119" s="9"/>
      <c r="D119" s="4"/>
      <c r="E119" s="9"/>
      <c r="F119" s="4"/>
      <c r="G119" s="9"/>
      <c r="H119" s="4"/>
      <c r="I119" s="9"/>
      <c r="J119" s="4"/>
      <c r="K119" s="9"/>
      <c r="L119" s="4"/>
      <c r="M119" s="9"/>
      <c r="N119" s="4"/>
      <c r="O119" s="9"/>
      <c r="P119" s="4"/>
      <c r="Q119" s="9"/>
      <c r="R119" s="4"/>
      <c r="S119" s="9"/>
      <c r="T119" s="4"/>
      <c r="U119" s="9"/>
      <c r="V119" s="4"/>
      <c r="W119" s="9"/>
      <c r="X119" s="4"/>
      <c r="Y119" s="9"/>
      <c r="Z119" s="4"/>
      <c r="AA119" s="4"/>
      <c r="AB119" s="10"/>
    </row>
    <row r="120" spans="1:28">
      <c r="A120" s="3" t="s">
        <v>121</v>
      </c>
      <c r="B120" s="5">
        <f t="shared" si="14"/>
        <v>366.15</v>
      </c>
      <c r="C120" s="9">
        <v>4.6816563205237215E-2</v>
      </c>
      <c r="D120" s="5">
        <f t="shared" si="15"/>
        <v>4088</v>
      </c>
      <c r="E120" s="9">
        <v>0.52269864914108899</v>
      </c>
      <c r="F120" s="5">
        <f t="shared" si="16"/>
        <v>0</v>
      </c>
      <c r="G120" s="9">
        <v>0</v>
      </c>
      <c r="H120" s="5">
        <f t="shared" si="13"/>
        <v>0</v>
      </c>
      <c r="I120" s="9">
        <v>0</v>
      </c>
      <c r="J120" s="5">
        <f t="shared" si="17"/>
        <v>0</v>
      </c>
      <c r="K120" s="9">
        <v>0</v>
      </c>
      <c r="L120" s="5">
        <f t="shared" si="18"/>
        <v>0</v>
      </c>
      <c r="M120" s="9">
        <v>0</v>
      </c>
      <c r="N120" s="5">
        <f t="shared" si="19"/>
        <v>0</v>
      </c>
      <c r="O120" s="9">
        <v>0</v>
      </c>
      <c r="P120" s="5">
        <f t="shared" si="20"/>
        <v>3366.8</v>
      </c>
      <c r="Q120" s="9">
        <v>0.43048478765367382</v>
      </c>
      <c r="R120" s="5">
        <f t="shared" si="21"/>
        <v>0</v>
      </c>
      <c r="S120" s="9">
        <v>0</v>
      </c>
      <c r="T120" s="5">
        <f t="shared" si="22"/>
        <v>0</v>
      </c>
      <c r="U120" s="9">
        <v>0</v>
      </c>
      <c r="V120" s="5">
        <f t="shared" si="23"/>
        <v>0</v>
      </c>
      <c r="W120" s="9">
        <v>0</v>
      </c>
      <c r="X120" s="5">
        <f t="shared" si="24"/>
        <v>0</v>
      </c>
      <c r="Y120" s="9">
        <v>0</v>
      </c>
      <c r="Z120" s="5">
        <v>7820.95</v>
      </c>
      <c r="AA120" s="5">
        <f t="shared" si="25"/>
        <v>7820.95</v>
      </c>
      <c r="AB120" s="10">
        <f>C120+E120+G120+I120+K120+M120+O120+Q120+S120+U120+W120+Y120</f>
        <v>1</v>
      </c>
    </row>
    <row r="121" spans="1:28">
      <c r="A121" s="3" t="s">
        <v>122</v>
      </c>
      <c r="B121" s="6">
        <f t="shared" si="14"/>
        <v>366.15</v>
      </c>
      <c r="C121" s="9">
        <v>4.6816563205237215E-2</v>
      </c>
      <c r="D121" s="6">
        <f t="shared" si="15"/>
        <v>4088</v>
      </c>
      <c r="E121" s="9">
        <v>0.52269864914108899</v>
      </c>
      <c r="F121" s="6">
        <f t="shared" si="16"/>
        <v>0</v>
      </c>
      <c r="G121" s="9">
        <v>0</v>
      </c>
      <c r="H121" s="6">
        <f t="shared" si="13"/>
        <v>0</v>
      </c>
      <c r="I121" s="9">
        <v>0</v>
      </c>
      <c r="J121" s="6">
        <f t="shared" si="17"/>
        <v>0</v>
      </c>
      <c r="K121" s="9">
        <v>0</v>
      </c>
      <c r="L121" s="6">
        <f t="shared" si="18"/>
        <v>0</v>
      </c>
      <c r="M121" s="9">
        <v>0</v>
      </c>
      <c r="N121" s="6">
        <f t="shared" si="19"/>
        <v>0</v>
      </c>
      <c r="O121" s="9">
        <v>0</v>
      </c>
      <c r="P121" s="6">
        <f t="shared" si="20"/>
        <v>3366.8</v>
      </c>
      <c r="Q121" s="9">
        <v>0.43048478765367382</v>
      </c>
      <c r="R121" s="6">
        <f t="shared" si="21"/>
        <v>0</v>
      </c>
      <c r="S121" s="9">
        <v>0</v>
      </c>
      <c r="T121" s="6">
        <f t="shared" si="22"/>
        <v>0</v>
      </c>
      <c r="U121" s="9">
        <v>0</v>
      </c>
      <c r="V121" s="6">
        <f t="shared" si="23"/>
        <v>0</v>
      </c>
      <c r="W121" s="9">
        <v>0</v>
      </c>
      <c r="X121" s="6">
        <f t="shared" si="24"/>
        <v>0</v>
      </c>
      <c r="Y121" s="9">
        <v>0</v>
      </c>
      <c r="Z121" s="6">
        <v>7820.95</v>
      </c>
      <c r="AA121" s="6">
        <f t="shared" si="25"/>
        <v>7820.95</v>
      </c>
      <c r="AB121" s="10">
        <f>C121+E121+G121+I121+K121+M121+O121+Q121+S121+U121+W121+Y121</f>
        <v>1</v>
      </c>
    </row>
    <row r="122" spans="1:28">
      <c r="A122" s="3" t="s">
        <v>123</v>
      </c>
      <c r="B122" s="6">
        <f t="shared" si="14"/>
        <v>3341.2399999999989</v>
      </c>
      <c r="C122" s="9">
        <v>0.51953439627317988</v>
      </c>
      <c r="D122" s="6">
        <f t="shared" si="15"/>
        <v>-2393.2199999999998</v>
      </c>
      <c r="E122" s="9">
        <v>-0.37212535102204564</v>
      </c>
      <c r="F122" s="6">
        <f t="shared" si="16"/>
        <v>3154.3199999999997</v>
      </c>
      <c r="G122" s="9">
        <v>0.49046992639032727</v>
      </c>
      <c r="H122" s="6">
        <f t="shared" si="13"/>
        <v>3936.6799999999994</v>
      </c>
      <c r="I122" s="9">
        <v>0.61212025090107325</v>
      </c>
      <c r="J122" s="6">
        <f t="shared" si="17"/>
        <v>675.45999999999992</v>
      </c>
      <c r="K122" s="9">
        <v>0.1050282839025877</v>
      </c>
      <c r="L122" s="6">
        <f t="shared" si="18"/>
        <v>-396.25999999999993</v>
      </c>
      <c r="M122" s="9">
        <v>-6.1615059040119921E-2</v>
      </c>
      <c r="N122" s="6">
        <f t="shared" si="19"/>
        <v>895.79999999999984</v>
      </c>
      <c r="O122" s="9">
        <v>0.13928927948351946</v>
      </c>
      <c r="P122" s="6">
        <f t="shared" si="20"/>
        <v>-2995.2899999999995</v>
      </c>
      <c r="Q122" s="9">
        <v>-0.46574211424892947</v>
      </c>
      <c r="R122" s="6">
        <f t="shared" si="21"/>
        <v>-96.11</v>
      </c>
      <c r="S122" s="9">
        <v>-1.4944287398036457E-2</v>
      </c>
      <c r="T122" s="6">
        <f t="shared" si="22"/>
        <v>671.32999999999981</v>
      </c>
      <c r="U122" s="9">
        <v>0.10438610403624818</v>
      </c>
      <c r="V122" s="6">
        <f t="shared" si="23"/>
        <v>269.06</v>
      </c>
      <c r="W122" s="9">
        <v>4.1836541122835177E-2</v>
      </c>
      <c r="X122" s="6">
        <f t="shared" si="24"/>
        <v>-631.79</v>
      </c>
      <c r="Y122" s="9">
        <v>-9.8237970400639391E-2</v>
      </c>
      <c r="Z122" s="6">
        <f>Z118-Z121</f>
        <v>6431.2199999999984</v>
      </c>
      <c r="AA122" s="6">
        <f t="shared" si="25"/>
        <v>6431.2199999999984</v>
      </c>
      <c r="AB122" s="10">
        <f>C122+E122+G122+I122+K122+M122+O122+Q122+S122+U122+W122+Y122</f>
        <v>1.0000000000000002</v>
      </c>
    </row>
    <row r="123" spans="1:28">
      <c r="A123" s="3" t="s">
        <v>124</v>
      </c>
      <c r="B123" s="7">
        <f t="shared" si="14"/>
        <v>-4486.612644150644</v>
      </c>
      <c r="C123" s="9">
        <v>-0.62637618074294843</v>
      </c>
      <c r="D123" s="7">
        <f t="shared" si="15"/>
        <v>-1729.5304768796389</v>
      </c>
      <c r="E123" s="9">
        <v>-0.24145982292426849</v>
      </c>
      <c r="F123" s="7">
        <f t="shared" si="16"/>
        <v>-6908.2157552227836</v>
      </c>
      <c r="G123" s="9">
        <v>-0.96445629335667271</v>
      </c>
      <c r="H123" s="7">
        <f>I123*$Z123</f>
        <v>15142.609510185222</v>
      </c>
      <c r="I123" s="9">
        <v>2.1140603532684197</v>
      </c>
      <c r="J123" s="7">
        <f t="shared" si="17"/>
        <v>-11595.658196761342</v>
      </c>
      <c r="K123" s="9">
        <v>-1.6188703305950387</v>
      </c>
      <c r="L123" s="7">
        <f t="shared" si="18"/>
        <v>-1744.6268948853171</v>
      </c>
      <c r="M123" s="9">
        <v>-0.24356743447964177</v>
      </c>
      <c r="N123" s="7">
        <f t="shared" si="19"/>
        <v>-9272.1306441931247</v>
      </c>
      <c r="O123" s="9">
        <v>-1.29448255084629</v>
      </c>
      <c r="P123" s="7">
        <f t="shared" si="20"/>
        <v>2136.4268451226203</v>
      </c>
      <c r="Q123" s="9">
        <v>0.29826664208002923</v>
      </c>
      <c r="R123" s="7">
        <f t="shared" si="21"/>
        <v>7230.8679719701277</v>
      </c>
      <c r="S123" s="9">
        <v>1.0095017829640571</v>
      </c>
      <c r="T123" s="7">
        <f t="shared" si="22"/>
        <v>5431.7432871308574</v>
      </c>
      <c r="U123" s="9">
        <v>0.7583259097272177</v>
      </c>
      <c r="V123" s="7">
        <f t="shared" si="23"/>
        <v>-8879.7632993172865</v>
      </c>
      <c r="W123" s="9">
        <v>-1.2397041292564528</v>
      </c>
      <c r="X123" s="7">
        <f t="shared" si="24"/>
        <v>21837.698817001296</v>
      </c>
      <c r="Y123" s="9">
        <v>3.048762054161589</v>
      </c>
      <c r="Z123" s="7">
        <f>Z122+Z112</f>
        <v>7162.8085199999887</v>
      </c>
      <c r="AA123" s="7">
        <f t="shared" si="25"/>
        <v>7162.8085199999841</v>
      </c>
      <c r="AB123" s="10">
        <f>C123+E123+G123+I123+K123+M123+O123+Q123+S123+U123+W123+Y123</f>
        <v>1</v>
      </c>
    </row>
    <row r="124" spans="1:28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7" spans="1:28">
      <c r="A127" s="18" t="s">
        <v>125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 Budget Spread</vt:lpstr>
      <vt:lpstr>Profit and Loss</vt:lpstr>
      <vt:lpstr>Sheet2</vt:lpstr>
      <vt:lpstr>Profit and Loss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Segal Rebecca - Fauquier</cp:lastModifiedBy>
  <dcterms:created xsi:type="dcterms:W3CDTF">2025-01-09T21:34:04Z</dcterms:created>
  <dcterms:modified xsi:type="dcterms:W3CDTF">2025-01-16T03:27:56Z</dcterms:modified>
</cp:coreProperties>
</file>