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lifepointhealth-my.sharepoint.com/personal/rebecca_segal_lifepointhealth_net/Documents/RMSegal Files/Fauquier Health/COC Info/2025 Budget/"/>
    </mc:Choice>
  </mc:AlternateContent>
  <xr:revisionPtr revIDLastSave="2" documentId="8_{C410FC75-A6CC-4615-A6D6-CE87B57A971F}" xr6:coauthVersionLast="47" xr6:coauthVersionMax="47" xr10:uidLastSave="{0AEA6097-19D2-47B8-9A9D-245E14D8C677}"/>
  <bookViews>
    <workbookView xWindow="-120" yWindow="-120" windowWidth="29040" windowHeight="15840" xr2:uid="{00000000-000D-0000-FFFF-FFFF00000000}"/>
  </bookViews>
  <sheets>
    <sheet name="2025 Positive Budget" sheetId="12" r:id="rId1"/>
    <sheet name="Budget Assumptions Positive" sheetId="11" r:id="rId2"/>
    <sheet name="2025 Budget Worksheet Positive" sheetId="10" r:id="rId3"/>
    <sheet name="2025 Proposed Budget" sheetId="6" r:id="rId4"/>
    <sheet name="Budget Assumptions" sheetId="8" r:id="rId5"/>
    <sheet name="2025 Budget Worksheet " sheetId="9" r:id="rId6"/>
  </sheets>
  <definedNames>
    <definedName name="_xlnm.Print_Titles" localSheetId="5">'2025 Budget Worksheet '!$1:$6</definedName>
    <definedName name="_xlnm.Print_Titles" localSheetId="2">'2025 Budget Worksheet Positive'!$1:$6</definedName>
    <definedName name="_xlnm.Print_Titles" localSheetId="0">'2025 Positive Budget'!$1:$6</definedName>
    <definedName name="_xlnm.Print_Titles" localSheetId="3">'2025 Proposed Budget'!$1:$6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" i="10" l="1"/>
  <c r="L11" i="10"/>
  <c r="J8" i="10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29" i="12" s="1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01" i="12"/>
  <c r="F95" i="12"/>
  <c r="F92" i="12"/>
  <c r="F93" i="12"/>
  <c r="F94" i="12"/>
  <c r="F91" i="12"/>
  <c r="F88" i="12"/>
  <c r="F87" i="12"/>
  <c r="F83" i="12"/>
  <c r="F84" i="12"/>
  <c r="F82" i="12"/>
  <c r="F78" i="12"/>
  <c r="F80" i="12" s="1"/>
  <c r="F79" i="12"/>
  <c r="F77" i="12"/>
  <c r="F73" i="12"/>
  <c r="F74" i="12"/>
  <c r="F72" i="12"/>
  <c r="F75" i="12" s="1"/>
  <c r="F67" i="12"/>
  <c r="F68" i="12"/>
  <c r="F69" i="12"/>
  <c r="F70" i="12" s="1"/>
  <c r="F66" i="12"/>
  <c r="F58" i="12"/>
  <c r="F64" i="12" s="1"/>
  <c r="F59" i="12"/>
  <c r="F60" i="12"/>
  <c r="F61" i="12"/>
  <c r="F62" i="12"/>
  <c r="F63" i="12"/>
  <c r="F57" i="12"/>
  <c r="F52" i="12"/>
  <c r="F53" i="12"/>
  <c r="F54" i="12"/>
  <c r="F51" i="12"/>
  <c r="F47" i="12"/>
  <c r="F48" i="12"/>
  <c r="F46" i="12"/>
  <c r="F43" i="12"/>
  <c r="F42" i="12"/>
  <c r="F39" i="12"/>
  <c r="F38" i="12"/>
  <c r="F34" i="12"/>
  <c r="F35" i="12"/>
  <c r="F33" i="12"/>
  <c r="F36" i="12" s="1"/>
  <c r="F28" i="12"/>
  <c r="F29" i="12"/>
  <c r="F30" i="12"/>
  <c r="F26" i="12"/>
  <c r="F27" i="12"/>
  <c r="F21" i="12"/>
  <c r="F22" i="12"/>
  <c r="F16" i="12"/>
  <c r="F17" i="12"/>
  <c r="F25" i="12"/>
  <c r="F20" i="12"/>
  <c r="F15" i="12"/>
  <c r="F12" i="12"/>
  <c r="F143" i="12"/>
  <c r="D143" i="12"/>
  <c r="C143" i="12"/>
  <c r="B143" i="12"/>
  <c r="D129" i="12"/>
  <c r="B129" i="12"/>
  <c r="C128" i="12"/>
  <c r="C127" i="12"/>
  <c r="C126" i="12"/>
  <c r="C125" i="12"/>
  <c r="C124" i="12"/>
  <c r="C123" i="12"/>
  <c r="C122" i="12"/>
  <c r="C121" i="12"/>
  <c r="C120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29" i="12" s="1"/>
  <c r="D94" i="12"/>
  <c r="C94" i="12"/>
  <c r="B94" i="12"/>
  <c r="D89" i="12"/>
  <c r="B89" i="12"/>
  <c r="C88" i="12"/>
  <c r="F89" i="12"/>
  <c r="C87" i="12"/>
  <c r="C89" i="12" s="1"/>
  <c r="F85" i="12"/>
  <c r="D85" i="12"/>
  <c r="B85" i="12"/>
  <c r="C84" i="12"/>
  <c r="C85" i="12" s="1"/>
  <c r="C83" i="12"/>
  <c r="D80" i="12"/>
  <c r="C80" i="12"/>
  <c r="B80" i="12"/>
  <c r="C79" i="12"/>
  <c r="C78" i="12"/>
  <c r="C77" i="12"/>
  <c r="D75" i="12"/>
  <c r="D95" i="12" s="1"/>
  <c r="B75" i="12"/>
  <c r="B95" i="12" s="1"/>
  <c r="C74" i="12"/>
  <c r="C75" i="12" s="1"/>
  <c r="C95" i="12" s="1"/>
  <c r="C73" i="12"/>
  <c r="C72" i="12"/>
  <c r="D70" i="12"/>
  <c r="B70" i="12"/>
  <c r="C69" i="12"/>
  <c r="C68" i="12"/>
  <c r="C67" i="12"/>
  <c r="C66" i="12"/>
  <c r="C70" i="12" s="1"/>
  <c r="D64" i="12"/>
  <c r="B64" i="12"/>
  <c r="C63" i="12"/>
  <c r="C62" i="12"/>
  <c r="C61" i="12"/>
  <c r="C60" i="12"/>
  <c r="C58" i="12"/>
  <c r="C57" i="12"/>
  <c r="C64" i="12" s="1"/>
  <c r="B55" i="12"/>
  <c r="D54" i="12"/>
  <c r="B54" i="12"/>
  <c r="C53" i="12"/>
  <c r="C52" i="12"/>
  <c r="C51" i="12"/>
  <c r="C54" i="12" s="1"/>
  <c r="F49" i="12"/>
  <c r="D49" i="12"/>
  <c r="B49" i="12"/>
  <c r="C48" i="12"/>
  <c r="C47" i="12"/>
  <c r="C46" i="12"/>
  <c r="C49" i="12" s="1"/>
  <c r="F44" i="12"/>
  <c r="D44" i="12"/>
  <c r="C44" i="12"/>
  <c r="B44" i="12"/>
  <c r="C43" i="12"/>
  <c r="C42" i="12"/>
  <c r="D40" i="12"/>
  <c r="B40" i="12"/>
  <c r="F40" i="12"/>
  <c r="C39" i="12"/>
  <c r="C40" i="12" s="1"/>
  <c r="C38" i="12"/>
  <c r="D36" i="12"/>
  <c r="B36" i="12"/>
  <c r="C35" i="12"/>
  <c r="C34" i="12"/>
  <c r="C33" i="12"/>
  <c r="C36" i="12" s="1"/>
  <c r="D31" i="12"/>
  <c r="D55" i="12" s="1"/>
  <c r="B31" i="12"/>
  <c r="C30" i="12"/>
  <c r="C29" i="12"/>
  <c r="C28" i="12"/>
  <c r="C27" i="12"/>
  <c r="C26" i="12"/>
  <c r="C31" i="12" s="1"/>
  <c r="C25" i="12"/>
  <c r="D23" i="12"/>
  <c r="B23" i="12"/>
  <c r="C22" i="12"/>
  <c r="C21" i="12"/>
  <c r="F23" i="12"/>
  <c r="C20" i="12"/>
  <c r="C23" i="12" s="1"/>
  <c r="D18" i="12"/>
  <c r="B18" i="12"/>
  <c r="C17" i="12"/>
  <c r="C16" i="12"/>
  <c r="F18" i="12"/>
  <c r="C15" i="12"/>
  <c r="C18" i="12" s="1"/>
  <c r="D13" i="12"/>
  <c r="B13" i="12"/>
  <c r="C12" i="12"/>
  <c r="C11" i="12"/>
  <c r="C10" i="12"/>
  <c r="C9" i="12"/>
  <c r="C13" i="12" s="1"/>
  <c r="I66" i="10"/>
  <c r="I144" i="10"/>
  <c r="G144" i="10"/>
  <c r="F144" i="10"/>
  <c r="E144" i="10"/>
  <c r="D144" i="10"/>
  <c r="C144" i="10"/>
  <c r="B144" i="10"/>
  <c r="G132" i="10"/>
  <c r="F132" i="10"/>
  <c r="E132" i="10"/>
  <c r="D132" i="10"/>
  <c r="C132" i="10"/>
  <c r="I131" i="10"/>
  <c r="F131" i="10"/>
  <c r="F130" i="10"/>
  <c r="I130" i="10" s="1"/>
  <c r="F129" i="10"/>
  <c r="I129" i="10" s="1"/>
  <c r="F128" i="10"/>
  <c r="I127" i="10"/>
  <c r="F127" i="10"/>
  <c r="I126" i="10"/>
  <c r="F126" i="10"/>
  <c r="F125" i="10"/>
  <c r="I125" i="10" s="1"/>
  <c r="I124" i="10"/>
  <c r="F124" i="10"/>
  <c r="F123" i="10"/>
  <c r="I123" i="10" s="1"/>
  <c r="I122" i="10"/>
  <c r="L121" i="10"/>
  <c r="F121" i="10"/>
  <c r="F120" i="10"/>
  <c r="I120" i="10" s="1"/>
  <c r="I119" i="10"/>
  <c r="F119" i="10"/>
  <c r="F118" i="10"/>
  <c r="I118" i="10" s="1"/>
  <c r="F117" i="10"/>
  <c r="F116" i="10"/>
  <c r="I115" i="10"/>
  <c r="F115" i="10"/>
  <c r="B115" i="10"/>
  <c r="F114" i="10"/>
  <c r="I114" i="10" s="1"/>
  <c r="I113" i="10"/>
  <c r="F113" i="10"/>
  <c r="F112" i="10"/>
  <c r="I112" i="10" s="1"/>
  <c r="B112" i="10"/>
  <c r="B132" i="10" s="1"/>
  <c r="I111" i="10"/>
  <c r="F111" i="10"/>
  <c r="I110" i="10"/>
  <c r="F110" i="10"/>
  <c r="F109" i="10"/>
  <c r="F108" i="10"/>
  <c r="I108" i="10" s="1"/>
  <c r="I107" i="10"/>
  <c r="F107" i="10"/>
  <c r="F106" i="10"/>
  <c r="I106" i="10" s="1"/>
  <c r="F105" i="10"/>
  <c r="I105" i="10" s="1"/>
  <c r="F104" i="10"/>
  <c r="I104" i="10" s="1"/>
  <c r="I97" i="10"/>
  <c r="I98" i="10" s="1"/>
  <c r="G97" i="10"/>
  <c r="F97" i="10"/>
  <c r="E97" i="10"/>
  <c r="D97" i="10"/>
  <c r="C97" i="10"/>
  <c r="B97" i="10"/>
  <c r="I92" i="10"/>
  <c r="G92" i="10"/>
  <c r="E92" i="10"/>
  <c r="D92" i="10"/>
  <c r="C92" i="10"/>
  <c r="B92" i="10"/>
  <c r="F91" i="10"/>
  <c r="F90" i="10"/>
  <c r="F92" i="10" s="1"/>
  <c r="I88" i="10"/>
  <c r="G88" i="10"/>
  <c r="E88" i="10"/>
  <c r="D88" i="10"/>
  <c r="C88" i="10"/>
  <c r="F87" i="10"/>
  <c r="F86" i="10"/>
  <c r="F88" i="10" s="1"/>
  <c r="B86" i="10"/>
  <c r="B88" i="10" s="1"/>
  <c r="I83" i="10"/>
  <c r="G83" i="10"/>
  <c r="F83" i="10"/>
  <c r="E83" i="10"/>
  <c r="D83" i="10"/>
  <c r="C83" i="10"/>
  <c r="B83" i="10"/>
  <c r="F82" i="10"/>
  <c r="F81" i="10"/>
  <c r="F80" i="10"/>
  <c r="I78" i="10"/>
  <c r="G78" i="10"/>
  <c r="G98" i="10" s="1"/>
  <c r="E78" i="10"/>
  <c r="E98" i="10" s="1"/>
  <c r="D78" i="10"/>
  <c r="D98" i="10" s="1"/>
  <c r="C78" i="10"/>
  <c r="C98" i="10" s="1"/>
  <c r="B78" i="10"/>
  <c r="B98" i="10" s="1"/>
  <c r="F77" i="10"/>
  <c r="F78" i="10" s="1"/>
  <c r="F98" i="10" s="1"/>
  <c r="F76" i="10"/>
  <c r="F75" i="10"/>
  <c r="I72" i="10"/>
  <c r="G72" i="10"/>
  <c r="E72" i="10"/>
  <c r="D72" i="10"/>
  <c r="C72" i="10"/>
  <c r="B72" i="10"/>
  <c r="F71" i="10"/>
  <c r="F70" i="10"/>
  <c r="F69" i="10"/>
  <c r="F72" i="10" s="1"/>
  <c r="F68" i="10"/>
  <c r="G66" i="10"/>
  <c r="E66" i="10"/>
  <c r="D66" i="10"/>
  <c r="C66" i="10"/>
  <c r="B66" i="10"/>
  <c r="F65" i="10"/>
  <c r="F64" i="10"/>
  <c r="F63" i="10"/>
  <c r="F62" i="10"/>
  <c r="F60" i="10"/>
  <c r="F59" i="10"/>
  <c r="F66" i="10" s="1"/>
  <c r="I55" i="10"/>
  <c r="G55" i="10"/>
  <c r="E55" i="10"/>
  <c r="D55" i="10"/>
  <c r="C55" i="10"/>
  <c r="B55" i="10"/>
  <c r="F54" i="10"/>
  <c r="F53" i="10"/>
  <c r="F52" i="10"/>
  <c r="F55" i="10" s="1"/>
  <c r="I50" i="10"/>
  <c r="G50" i="10"/>
  <c r="E50" i="10"/>
  <c r="D50" i="10"/>
  <c r="B50" i="10"/>
  <c r="F49" i="10"/>
  <c r="C49" i="10"/>
  <c r="C50" i="10" s="1"/>
  <c r="F48" i="10"/>
  <c r="F47" i="10"/>
  <c r="F50" i="10" s="1"/>
  <c r="G45" i="10"/>
  <c r="E45" i="10"/>
  <c r="D45" i="10"/>
  <c r="C45" i="10"/>
  <c r="B45" i="10"/>
  <c r="F44" i="10"/>
  <c r="I43" i="10"/>
  <c r="I45" i="10" s="1"/>
  <c r="F43" i="10"/>
  <c r="F45" i="10" s="1"/>
  <c r="I41" i="10"/>
  <c r="G41" i="10"/>
  <c r="E41" i="10"/>
  <c r="D41" i="10"/>
  <c r="C41" i="10"/>
  <c r="B41" i="10"/>
  <c r="F40" i="10"/>
  <c r="F41" i="10" s="1"/>
  <c r="F39" i="10"/>
  <c r="G37" i="10"/>
  <c r="F37" i="10"/>
  <c r="E37" i="10"/>
  <c r="D37" i="10"/>
  <c r="C37" i="10"/>
  <c r="B37" i="10"/>
  <c r="F36" i="10"/>
  <c r="B36" i="10"/>
  <c r="I35" i="10"/>
  <c r="I37" i="10" s="1"/>
  <c r="F35" i="10"/>
  <c r="B35" i="10"/>
  <c r="F34" i="10"/>
  <c r="I32" i="10"/>
  <c r="G32" i="10"/>
  <c r="G56" i="10" s="1"/>
  <c r="E32" i="10"/>
  <c r="E56" i="10" s="1"/>
  <c r="D32" i="10"/>
  <c r="C32" i="10"/>
  <c r="C56" i="10" s="1"/>
  <c r="B32" i="10"/>
  <c r="F31" i="10"/>
  <c r="F30" i="10"/>
  <c r="F29" i="10"/>
  <c r="F28" i="10"/>
  <c r="F27" i="10"/>
  <c r="F26" i="10"/>
  <c r="F32" i="10" s="1"/>
  <c r="G24" i="10"/>
  <c r="F24" i="10"/>
  <c r="E24" i="10"/>
  <c r="D24" i="10"/>
  <c r="C24" i="10"/>
  <c r="B24" i="10"/>
  <c r="I23" i="10"/>
  <c r="I24" i="10" s="1"/>
  <c r="F23" i="10"/>
  <c r="I22" i="10"/>
  <c r="F22" i="10"/>
  <c r="F21" i="10"/>
  <c r="I19" i="10"/>
  <c r="G19" i="10"/>
  <c r="E19" i="10"/>
  <c r="D19" i="10"/>
  <c r="D56" i="10" s="1"/>
  <c r="C19" i="10"/>
  <c r="B19" i="10"/>
  <c r="B56" i="10" s="1"/>
  <c r="F18" i="10"/>
  <c r="F19" i="10" s="1"/>
  <c r="F17" i="10"/>
  <c r="F16" i="10"/>
  <c r="G14" i="10"/>
  <c r="F14" i="10"/>
  <c r="E14" i="10"/>
  <c r="D14" i="10"/>
  <c r="C14" i="10"/>
  <c r="B14" i="10"/>
  <c r="F13" i="10"/>
  <c r="L12" i="10"/>
  <c r="I12" i="10"/>
  <c r="F11" i="12" s="1"/>
  <c r="F12" i="10"/>
  <c r="F11" i="10"/>
  <c r="I11" i="10" s="1"/>
  <c r="F10" i="12" s="1"/>
  <c r="I10" i="10"/>
  <c r="F9" i="12" s="1"/>
  <c r="F10" i="10"/>
  <c r="J9" i="10"/>
  <c r="F102" i="6"/>
  <c r="F129" i="6" s="1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01" i="6"/>
  <c r="F92" i="6"/>
  <c r="F93" i="6"/>
  <c r="F91" i="6"/>
  <c r="F88" i="6"/>
  <c r="F87" i="6"/>
  <c r="F83" i="6"/>
  <c r="F84" i="6"/>
  <c r="F82" i="6"/>
  <c r="F78" i="6"/>
  <c r="F80" i="6" s="1"/>
  <c r="F79" i="6"/>
  <c r="F77" i="6"/>
  <c r="F73" i="6"/>
  <c r="F74" i="6"/>
  <c r="F72" i="6"/>
  <c r="F67" i="6"/>
  <c r="F68" i="6"/>
  <c r="F69" i="6"/>
  <c r="F66" i="6"/>
  <c r="F58" i="6"/>
  <c r="F59" i="6"/>
  <c r="F60" i="6"/>
  <c r="F61" i="6"/>
  <c r="F62" i="6"/>
  <c r="F63" i="6"/>
  <c r="F57" i="6"/>
  <c r="F52" i="6"/>
  <c r="F53" i="6"/>
  <c r="F54" i="6"/>
  <c r="F51" i="6"/>
  <c r="F47" i="6"/>
  <c r="F48" i="6"/>
  <c r="F46" i="6"/>
  <c r="F43" i="6"/>
  <c r="F42" i="6"/>
  <c r="F39" i="6"/>
  <c r="F38" i="6"/>
  <c r="F34" i="6"/>
  <c r="F35" i="6"/>
  <c r="F33" i="6"/>
  <c r="F26" i="6"/>
  <c r="F27" i="6"/>
  <c r="F28" i="6"/>
  <c r="F29" i="6"/>
  <c r="F30" i="6"/>
  <c r="F25" i="6"/>
  <c r="F21" i="6"/>
  <c r="F22" i="6"/>
  <c r="F20" i="6"/>
  <c r="F16" i="6"/>
  <c r="F17" i="6"/>
  <c r="F15" i="6"/>
  <c r="F10" i="6"/>
  <c r="F11" i="6"/>
  <c r="F12" i="6"/>
  <c r="F9" i="6"/>
  <c r="I144" i="9"/>
  <c r="G144" i="9"/>
  <c r="F144" i="9"/>
  <c r="E144" i="9"/>
  <c r="D144" i="9"/>
  <c r="C144" i="9"/>
  <c r="B144" i="9"/>
  <c r="G132" i="9"/>
  <c r="E132" i="9"/>
  <c r="D132" i="9"/>
  <c r="C132" i="9"/>
  <c r="F131" i="9"/>
  <c r="I131" i="9" s="1"/>
  <c r="F130" i="9"/>
  <c r="I130" i="9" s="1"/>
  <c r="F129" i="9"/>
  <c r="I129" i="9" s="1"/>
  <c r="F128" i="9"/>
  <c r="F127" i="9"/>
  <c r="I127" i="9" s="1"/>
  <c r="F126" i="9"/>
  <c r="I126" i="9" s="1"/>
  <c r="F125" i="9"/>
  <c r="I125" i="9" s="1"/>
  <c r="I124" i="9"/>
  <c r="F124" i="9"/>
  <c r="F123" i="9"/>
  <c r="I123" i="9" s="1"/>
  <c r="I122" i="9"/>
  <c r="L121" i="9"/>
  <c r="F121" i="9"/>
  <c r="F120" i="9"/>
  <c r="I120" i="9" s="1"/>
  <c r="F119" i="9"/>
  <c r="I119" i="9" s="1"/>
  <c r="F118" i="9"/>
  <c r="I118" i="9" s="1"/>
  <c r="F117" i="9"/>
  <c r="F116" i="9"/>
  <c r="F115" i="9"/>
  <c r="I115" i="9" s="1"/>
  <c r="B115" i="9"/>
  <c r="F114" i="9"/>
  <c r="I114" i="9" s="1"/>
  <c r="F113" i="9"/>
  <c r="I113" i="9" s="1"/>
  <c r="F112" i="9"/>
  <c r="I112" i="9" s="1"/>
  <c r="B112" i="9"/>
  <c r="B132" i="9" s="1"/>
  <c r="F111" i="9"/>
  <c r="I111" i="9" s="1"/>
  <c r="F110" i="9"/>
  <c r="I110" i="9" s="1"/>
  <c r="F109" i="9"/>
  <c r="F108" i="9"/>
  <c r="I108" i="9" s="1"/>
  <c r="F107" i="9"/>
  <c r="I107" i="9" s="1"/>
  <c r="F106" i="9"/>
  <c r="I106" i="9" s="1"/>
  <c r="F105" i="9"/>
  <c r="I105" i="9" s="1"/>
  <c r="F104" i="9"/>
  <c r="I104" i="9" s="1"/>
  <c r="I97" i="9"/>
  <c r="I98" i="9" s="1"/>
  <c r="G97" i="9"/>
  <c r="F97" i="9"/>
  <c r="E97" i="9"/>
  <c r="D97" i="9"/>
  <c r="C97" i="9"/>
  <c r="B97" i="9"/>
  <c r="I92" i="9"/>
  <c r="G92" i="9"/>
  <c r="E92" i="9"/>
  <c r="D92" i="9"/>
  <c r="C92" i="9"/>
  <c r="B92" i="9"/>
  <c r="F91" i="9"/>
  <c r="F90" i="9"/>
  <c r="F92" i="9" s="1"/>
  <c r="I88" i="9"/>
  <c r="G88" i="9"/>
  <c r="E88" i="9"/>
  <c r="D88" i="9"/>
  <c r="C88" i="9"/>
  <c r="F87" i="9"/>
  <c r="F86" i="9"/>
  <c r="F88" i="9" s="1"/>
  <c r="B86" i="9"/>
  <c r="B88" i="9" s="1"/>
  <c r="I83" i="9"/>
  <c r="G83" i="9"/>
  <c r="E83" i="9"/>
  <c r="D83" i="9"/>
  <c r="D98" i="9" s="1"/>
  <c r="C83" i="9"/>
  <c r="C98" i="9" s="1"/>
  <c r="B83" i="9"/>
  <c r="F82" i="9"/>
  <c r="F81" i="9"/>
  <c r="F80" i="9"/>
  <c r="F83" i="9" s="1"/>
  <c r="I78" i="9"/>
  <c r="G78" i="9"/>
  <c r="G98" i="9" s="1"/>
  <c r="F78" i="9"/>
  <c r="F98" i="9" s="1"/>
  <c r="E78" i="9"/>
  <c r="E98" i="9" s="1"/>
  <c r="D78" i="9"/>
  <c r="C78" i="9"/>
  <c r="B78" i="9"/>
  <c r="F77" i="9"/>
  <c r="F76" i="9"/>
  <c r="F75" i="9"/>
  <c r="I72" i="9"/>
  <c r="G72" i="9"/>
  <c r="E72" i="9"/>
  <c r="D72" i="9"/>
  <c r="C72" i="9"/>
  <c r="B72" i="9"/>
  <c r="F71" i="9"/>
  <c r="F70" i="9"/>
  <c r="F69" i="9"/>
  <c r="F68" i="9"/>
  <c r="F72" i="9" s="1"/>
  <c r="G66" i="9"/>
  <c r="E66" i="9"/>
  <c r="D66" i="9"/>
  <c r="C66" i="9"/>
  <c r="B66" i="9"/>
  <c r="F65" i="9"/>
  <c r="F64" i="9"/>
  <c r="F63" i="9"/>
  <c r="F62" i="9"/>
  <c r="F66" i="9" s="1"/>
  <c r="I60" i="9"/>
  <c r="I66" i="9" s="1"/>
  <c r="F60" i="9"/>
  <c r="F59" i="9"/>
  <c r="D56" i="9"/>
  <c r="I55" i="9"/>
  <c r="G55" i="9"/>
  <c r="E55" i="9"/>
  <c r="D55" i="9"/>
  <c r="C55" i="9"/>
  <c r="B55" i="9"/>
  <c r="F54" i="9"/>
  <c r="F53" i="9"/>
  <c r="F52" i="9"/>
  <c r="F55" i="9" s="1"/>
  <c r="I50" i="9"/>
  <c r="G50" i="9"/>
  <c r="E50" i="9"/>
  <c r="D50" i="9"/>
  <c r="B50" i="9"/>
  <c r="F49" i="9"/>
  <c r="C49" i="9"/>
  <c r="C50" i="9" s="1"/>
  <c r="F48" i="9"/>
  <c r="F47" i="9"/>
  <c r="F50" i="9" s="1"/>
  <c r="I45" i="9"/>
  <c r="G45" i="9"/>
  <c r="E45" i="9"/>
  <c r="D45" i="9"/>
  <c r="C45" i="9"/>
  <c r="B45" i="9"/>
  <c r="F44" i="9"/>
  <c r="I43" i="9"/>
  <c r="F43" i="9"/>
  <c r="F45" i="9" s="1"/>
  <c r="I41" i="9"/>
  <c r="G41" i="9"/>
  <c r="F41" i="9"/>
  <c r="E41" i="9"/>
  <c r="D41" i="9"/>
  <c r="C41" i="9"/>
  <c r="B41" i="9"/>
  <c r="F40" i="9"/>
  <c r="F39" i="9"/>
  <c r="G37" i="9"/>
  <c r="E37" i="9"/>
  <c r="D37" i="9"/>
  <c r="C37" i="9"/>
  <c r="F36" i="9"/>
  <c r="B36" i="9"/>
  <c r="I35" i="9"/>
  <c r="I37" i="9" s="1"/>
  <c r="F35" i="9"/>
  <c r="F37" i="9" s="1"/>
  <c r="B35" i="9"/>
  <c r="B37" i="9" s="1"/>
  <c r="F34" i="9"/>
  <c r="I32" i="9"/>
  <c r="G32" i="9"/>
  <c r="E32" i="9"/>
  <c r="D32" i="9"/>
  <c r="C32" i="9"/>
  <c r="B32" i="9"/>
  <c r="F31" i="9"/>
  <c r="F30" i="9"/>
  <c r="F29" i="9"/>
  <c r="F32" i="9" s="1"/>
  <c r="F28" i="9"/>
  <c r="F27" i="9"/>
  <c r="F26" i="9"/>
  <c r="G24" i="9"/>
  <c r="F24" i="9"/>
  <c r="E24" i="9"/>
  <c r="D24" i="9"/>
  <c r="C24" i="9"/>
  <c r="B24" i="9"/>
  <c r="I23" i="9"/>
  <c r="I24" i="9" s="1"/>
  <c r="F23" i="9"/>
  <c r="I22" i="9"/>
  <c r="F22" i="9"/>
  <c r="F21" i="9"/>
  <c r="I19" i="9"/>
  <c r="G19" i="9"/>
  <c r="G56" i="9" s="1"/>
  <c r="F19" i="9"/>
  <c r="E19" i="9"/>
  <c r="E56" i="9" s="1"/>
  <c r="D19" i="9"/>
  <c r="C19" i="9"/>
  <c r="B19" i="9"/>
  <c r="F18" i="9"/>
  <c r="F17" i="9"/>
  <c r="F16" i="9"/>
  <c r="G14" i="9"/>
  <c r="G100" i="9" s="1"/>
  <c r="G101" i="9" s="1"/>
  <c r="G133" i="9" s="1"/>
  <c r="G146" i="9" s="1"/>
  <c r="E14" i="9"/>
  <c r="E100" i="9" s="1"/>
  <c r="E101" i="9" s="1"/>
  <c r="E133" i="9" s="1"/>
  <c r="E146" i="9" s="1"/>
  <c r="D14" i="9"/>
  <c r="D100" i="9" s="1"/>
  <c r="D101" i="9" s="1"/>
  <c r="D133" i="9" s="1"/>
  <c r="D146" i="9" s="1"/>
  <c r="C14" i="9"/>
  <c r="B14" i="9"/>
  <c r="F13" i="9"/>
  <c r="L12" i="9"/>
  <c r="I12" i="9"/>
  <c r="F12" i="9"/>
  <c r="K11" i="9"/>
  <c r="F11" i="9"/>
  <c r="I11" i="9" s="1"/>
  <c r="I10" i="9"/>
  <c r="I14" i="9" s="1"/>
  <c r="F10" i="9"/>
  <c r="F14" i="9" s="1"/>
  <c r="J9" i="9"/>
  <c r="J8" i="9"/>
  <c r="B64" i="6"/>
  <c r="C121" i="6"/>
  <c r="C122" i="6"/>
  <c r="C123" i="6"/>
  <c r="C124" i="6"/>
  <c r="C125" i="6"/>
  <c r="C126" i="6"/>
  <c r="C127" i="6"/>
  <c r="C128" i="6"/>
  <c r="C120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01" i="6"/>
  <c r="C83" i="6"/>
  <c r="C79" i="6"/>
  <c r="C78" i="6"/>
  <c r="C77" i="6"/>
  <c r="C74" i="6"/>
  <c r="C73" i="6"/>
  <c r="C72" i="6"/>
  <c r="C68" i="6"/>
  <c r="C48" i="6"/>
  <c r="C43" i="6"/>
  <c r="C42" i="6"/>
  <c r="C22" i="6"/>
  <c r="C29" i="6"/>
  <c r="C26" i="6"/>
  <c r="C27" i="6"/>
  <c r="C25" i="6"/>
  <c r="C60" i="6"/>
  <c r="C58" i="6"/>
  <c r="C63" i="6"/>
  <c r="C10" i="6"/>
  <c r="C11" i="6"/>
  <c r="C9" i="6"/>
  <c r="F143" i="6"/>
  <c r="D143" i="6"/>
  <c r="C143" i="6"/>
  <c r="B143" i="6"/>
  <c r="D129" i="6"/>
  <c r="B129" i="6"/>
  <c r="D94" i="6"/>
  <c r="C94" i="6"/>
  <c r="B94" i="6"/>
  <c r="D89" i="6"/>
  <c r="B89" i="6"/>
  <c r="C88" i="6"/>
  <c r="C87" i="6"/>
  <c r="D85" i="6"/>
  <c r="B85" i="6"/>
  <c r="C84" i="6"/>
  <c r="D80" i="6"/>
  <c r="B80" i="6"/>
  <c r="D75" i="6"/>
  <c r="B75" i="6"/>
  <c r="D70" i="6"/>
  <c r="B70" i="6"/>
  <c r="C69" i="6"/>
  <c r="C67" i="6"/>
  <c r="C66" i="6"/>
  <c r="D64" i="6"/>
  <c r="C62" i="6"/>
  <c r="C61" i="6"/>
  <c r="C57" i="6"/>
  <c r="D54" i="6"/>
  <c r="B54" i="6"/>
  <c r="C53" i="6"/>
  <c r="C52" i="6"/>
  <c r="C51" i="6"/>
  <c r="D49" i="6"/>
  <c r="B49" i="6"/>
  <c r="C47" i="6"/>
  <c r="C46" i="6"/>
  <c r="D44" i="6"/>
  <c r="B44" i="6"/>
  <c r="D40" i="6"/>
  <c r="B40" i="6"/>
  <c r="C39" i="6"/>
  <c r="C38" i="6"/>
  <c r="D36" i="6"/>
  <c r="B36" i="6"/>
  <c r="C35" i="6"/>
  <c r="C34" i="6"/>
  <c r="C33" i="6"/>
  <c r="D31" i="6"/>
  <c r="B31" i="6"/>
  <c r="C30" i="6"/>
  <c r="C28" i="6"/>
  <c r="D23" i="6"/>
  <c r="B23" i="6"/>
  <c r="C21" i="6"/>
  <c r="C20" i="6"/>
  <c r="D18" i="6"/>
  <c r="B18" i="6"/>
  <c r="C17" i="6"/>
  <c r="C16" i="6"/>
  <c r="C15" i="6"/>
  <c r="D13" i="6"/>
  <c r="B13" i="6"/>
  <c r="C12" i="6"/>
  <c r="F31" i="12" l="1"/>
  <c r="F55" i="12" s="1"/>
  <c r="F13" i="12"/>
  <c r="I14" i="10"/>
  <c r="D97" i="12"/>
  <c r="D131" i="12" s="1"/>
  <c r="D145" i="12" s="1"/>
  <c r="B97" i="12"/>
  <c r="B131" i="12" s="1"/>
  <c r="B145" i="12" s="1"/>
  <c r="C55" i="12"/>
  <c r="C97" i="12" s="1"/>
  <c r="C131" i="12" s="1"/>
  <c r="C145" i="12" s="1"/>
  <c r="B100" i="10"/>
  <c r="B101" i="10" s="1"/>
  <c r="B133" i="10" s="1"/>
  <c r="B146" i="10" s="1"/>
  <c r="C100" i="10"/>
  <c r="C101" i="10" s="1"/>
  <c r="C133" i="10" s="1"/>
  <c r="C146" i="10" s="1"/>
  <c r="D100" i="10"/>
  <c r="D101" i="10" s="1"/>
  <c r="D133" i="10" s="1"/>
  <c r="D146" i="10" s="1"/>
  <c r="I56" i="10"/>
  <c r="E100" i="10"/>
  <c r="E101" i="10" s="1"/>
  <c r="E133" i="10" s="1"/>
  <c r="E146" i="10" s="1"/>
  <c r="F100" i="10"/>
  <c r="F101" i="10" s="1"/>
  <c r="F133" i="10" s="1"/>
  <c r="F146" i="10" s="1"/>
  <c r="G100" i="10"/>
  <c r="G101" i="10" s="1"/>
  <c r="G133" i="10" s="1"/>
  <c r="G146" i="10" s="1"/>
  <c r="I117" i="10"/>
  <c r="I132" i="10" s="1"/>
  <c r="L122" i="10"/>
  <c r="L123" i="10" s="1"/>
  <c r="F56" i="10"/>
  <c r="F75" i="6"/>
  <c r="F85" i="6"/>
  <c r="F13" i="6"/>
  <c r="F89" i="6"/>
  <c r="F18" i="6"/>
  <c r="F70" i="6"/>
  <c r="F64" i="6"/>
  <c r="F94" i="6"/>
  <c r="F31" i="6"/>
  <c r="F49" i="6"/>
  <c r="F40" i="6"/>
  <c r="C89" i="6"/>
  <c r="F44" i="6"/>
  <c r="C18" i="6"/>
  <c r="C36" i="6"/>
  <c r="F23" i="6"/>
  <c r="B100" i="9"/>
  <c r="B101" i="9" s="1"/>
  <c r="B133" i="9" s="1"/>
  <c r="B146" i="9" s="1"/>
  <c r="F56" i="9"/>
  <c r="B98" i="9"/>
  <c r="I56" i="9"/>
  <c r="F100" i="9"/>
  <c r="F101" i="9" s="1"/>
  <c r="F133" i="9" s="1"/>
  <c r="F146" i="9" s="1"/>
  <c r="I100" i="9"/>
  <c r="I101" i="9" s="1"/>
  <c r="B56" i="9"/>
  <c r="C56" i="9"/>
  <c r="C100" i="9" s="1"/>
  <c r="C101" i="9" s="1"/>
  <c r="C133" i="9" s="1"/>
  <c r="C146" i="9" s="1"/>
  <c r="I117" i="9"/>
  <c r="I132" i="9" s="1"/>
  <c r="L122" i="9"/>
  <c r="L123" i="9" s="1"/>
  <c r="F132" i="9"/>
  <c r="F36" i="6"/>
  <c r="C40" i="6"/>
  <c r="C49" i="6"/>
  <c r="B95" i="6"/>
  <c r="D55" i="6"/>
  <c r="D95" i="6"/>
  <c r="C54" i="6"/>
  <c r="C85" i="6"/>
  <c r="C80" i="6"/>
  <c r="C75" i="6"/>
  <c r="C70" i="6"/>
  <c r="C44" i="6"/>
  <c r="C31" i="6"/>
  <c r="C64" i="6"/>
  <c r="B55" i="6"/>
  <c r="C23" i="6"/>
  <c r="C13" i="6"/>
  <c r="C129" i="6"/>
  <c r="F97" i="12" l="1"/>
  <c r="F131" i="12" s="1"/>
  <c r="F145" i="12" s="1"/>
  <c r="I100" i="10"/>
  <c r="I101" i="10" s="1"/>
  <c r="I133" i="10" s="1"/>
  <c r="I146" i="10" s="1"/>
  <c r="F95" i="6"/>
  <c r="F55" i="6"/>
  <c r="I133" i="9"/>
  <c r="I146" i="9" s="1"/>
  <c r="C55" i="6"/>
  <c r="B97" i="6"/>
  <c r="D97" i="6"/>
  <c r="C95" i="6"/>
  <c r="B131" i="6" l="1"/>
  <c r="B145" i="6" s="1"/>
  <c r="D131" i="6"/>
  <c r="D145" i="6" s="1"/>
  <c r="F97" i="6"/>
  <c r="F131" i="6" s="1"/>
  <c r="F145" i="6" s="1"/>
  <c r="C97" i="6"/>
  <c r="C131" i="6" l="1"/>
  <c r="C145" i="6" s="1"/>
</calcChain>
</file>

<file path=xl/sharedStrings.xml><?xml version="1.0" encoding="utf-8"?>
<sst xmlns="http://schemas.openxmlformats.org/spreadsheetml/2006/main" count="1168" uniqueCount="233">
  <si>
    <t>Income</t>
  </si>
  <si>
    <t xml:space="preserve">   Total 4400 Membership Activities</t>
  </si>
  <si>
    <t>Total Income</t>
  </si>
  <si>
    <t>Gross Profit</t>
  </si>
  <si>
    <t>Expenses</t>
  </si>
  <si>
    <t>Total Expenses</t>
  </si>
  <si>
    <t>Net Operating Income</t>
  </si>
  <si>
    <t>Other Income</t>
  </si>
  <si>
    <t>Total Other Income</t>
  </si>
  <si>
    <t>Fauquier County Chamber of Commerce</t>
  </si>
  <si>
    <t>Membership</t>
  </si>
  <si>
    <t>Renewal Member Dues</t>
  </si>
  <si>
    <t>Admin Fees</t>
  </si>
  <si>
    <t>New Member Dues</t>
  </si>
  <si>
    <t>Total Membership</t>
  </si>
  <si>
    <t>Events</t>
  </si>
  <si>
    <t>Valor Awards Sponsorship</t>
  </si>
  <si>
    <t>Valor Awards Attendee</t>
  </si>
  <si>
    <t>Valor Awards Expense</t>
  </si>
  <si>
    <t>Total Valor Awards</t>
  </si>
  <si>
    <t>Legislative Events Sponsorship</t>
  </si>
  <si>
    <t>Legislative Events Attendee</t>
  </si>
  <si>
    <t>Legislative Events Expense</t>
  </si>
  <si>
    <t>Total Legislative Events</t>
  </si>
  <si>
    <t>BPOY Sponsorship</t>
  </si>
  <si>
    <t>BPOY Attendee</t>
  </si>
  <si>
    <t>BPOY Expenses</t>
  </si>
  <si>
    <t>Total BPOY</t>
  </si>
  <si>
    <t>TOTAL EVENTS INCOME</t>
  </si>
  <si>
    <t>Non Dues Income</t>
  </si>
  <si>
    <t>Corporate Sponsorship Income</t>
  </si>
  <si>
    <t>Total Non Dues Income</t>
  </si>
  <si>
    <t>Advertising Income</t>
  </si>
  <si>
    <t>Business Directory Income</t>
  </si>
  <si>
    <t>Business Directory Expense</t>
  </si>
  <si>
    <t>Total Advertising Income</t>
  </si>
  <si>
    <t>Membership Activities Income</t>
  </si>
  <si>
    <t>FYPG Sponsor</t>
  </si>
  <si>
    <t>FYPG Attendee</t>
  </si>
  <si>
    <t>FYPG Events Expense</t>
  </si>
  <si>
    <t>Total FYPG Events</t>
  </si>
  <si>
    <t>WBC Attendee</t>
  </si>
  <si>
    <t>WBC Sponsor</t>
  </si>
  <si>
    <t>WBC Event Expense</t>
  </si>
  <si>
    <t>Total WBC Events</t>
  </si>
  <si>
    <t>Member Luncheon Attendee</t>
  </si>
  <si>
    <t>Member Luncheon Expense</t>
  </si>
  <si>
    <t>Total Member Luncheon</t>
  </si>
  <si>
    <t>Membership Activities Income Other</t>
  </si>
  <si>
    <t>Membership Activities Expense Other</t>
  </si>
  <si>
    <t>Total Membership Activities - Other</t>
  </si>
  <si>
    <t>Advertising Expense</t>
  </si>
  <si>
    <t>Bookkeeping</t>
  </si>
  <si>
    <t>Contributions</t>
  </si>
  <si>
    <t>Cr Card Processing &amp; Bank Chgs</t>
  </si>
  <si>
    <t>Dues and Subscriptions</t>
  </si>
  <si>
    <t>Insurance - General</t>
  </si>
  <si>
    <t>Meetings/Conventions</t>
  </si>
  <si>
    <t>Membership Expense</t>
  </si>
  <si>
    <t>Office Supplies &amp; Expense</t>
  </si>
  <si>
    <t>Payroll Processing</t>
  </si>
  <si>
    <t>Payroll Tax  Expense</t>
  </si>
  <si>
    <t>Postage and Delivery</t>
  </si>
  <si>
    <t>Simple IRA Company Contribution</t>
  </si>
  <si>
    <t>Technology Expense</t>
  </si>
  <si>
    <t>Telephone</t>
  </si>
  <si>
    <t>Website Expense</t>
  </si>
  <si>
    <t>Realized Dividend Income</t>
  </si>
  <si>
    <t>Investment Income</t>
  </si>
  <si>
    <t>Unrealized Gains/Losses</t>
  </si>
  <si>
    <t>NET INCOME</t>
  </si>
  <si>
    <t>Member Luncheon Sponsor</t>
  </si>
  <si>
    <t>Power Breakfast Attendee</t>
  </si>
  <si>
    <t>Power Breakfast Sponsorship</t>
  </si>
  <si>
    <t>Power Breakfast Expense</t>
  </si>
  <si>
    <t>Non Dues Income - Other</t>
  </si>
  <si>
    <t>Total Power Breakfast</t>
  </si>
  <si>
    <t>Economic Summit Sponsorship</t>
  </si>
  <si>
    <t>Economic Summit Attendees</t>
  </si>
  <si>
    <t>Economic Summit Expense</t>
  </si>
  <si>
    <t>Donated "Rent" Income - New Space</t>
  </si>
  <si>
    <t>Contract Labor:  Events</t>
  </si>
  <si>
    <t>Rent - New Space (PATH)</t>
  </si>
  <si>
    <t>Meals - 50%</t>
  </si>
  <si>
    <t>Wages - Salaries</t>
  </si>
  <si>
    <t>Wages - Commissions</t>
  </si>
  <si>
    <t>Previous Year Income</t>
  </si>
  <si>
    <t>Software Costs</t>
  </si>
  <si>
    <t>Utility Costs</t>
  </si>
  <si>
    <t>Equipment Rental</t>
  </si>
  <si>
    <t>IT Services</t>
  </si>
  <si>
    <t>Trade Income</t>
  </si>
  <si>
    <t>Trade Expense</t>
  </si>
  <si>
    <t>Grant Income</t>
  </si>
  <si>
    <t>Gala Expenses</t>
  </si>
  <si>
    <t>Previous Year Expenses</t>
  </si>
  <si>
    <t>Wages - Salaries (Admin)</t>
  </si>
  <si>
    <t>Membership Orientation Sponsorship</t>
  </si>
  <si>
    <t>Membership Orientation Expense</t>
  </si>
  <si>
    <t>Total Membership Orientation</t>
  </si>
  <si>
    <t>After 5 Expense</t>
  </si>
  <si>
    <t>Total Before 9</t>
  </si>
  <si>
    <t>Networking Events Sponsorships</t>
  </si>
  <si>
    <t>Networking Events Attendee Fees</t>
  </si>
  <si>
    <t>Networking Events Expenses</t>
  </si>
  <si>
    <t>Total Networking Events</t>
  </si>
  <si>
    <t>Advertising Sponsorships</t>
  </si>
  <si>
    <t>Wages - Salaries (Exec Director)</t>
  </si>
  <si>
    <t>ANNUALIZED</t>
  </si>
  <si>
    <t>Fall Festival Sponsor</t>
  </si>
  <si>
    <t>Fall Festival Booth Fees</t>
  </si>
  <si>
    <t>Fall Festival Costs</t>
  </si>
  <si>
    <t>Gala Sponsorship</t>
  </si>
  <si>
    <t>Gala Attendee</t>
  </si>
  <si>
    <t>Total Gala</t>
  </si>
  <si>
    <t xml:space="preserve">APPROVED </t>
  </si>
  <si>
    <t>Actual</t>
  </si>
  <si>
    <t>Festival Sponsor</t>
  </si>
  <si>
    <t>Festival Booth Fees</t>
  </si>
  <si>
    <t>Festival Costs</t>
  </si>
  <si>
    <t>After 5 Income</t>
  </si>
  <si>
    <t>Total After 5</t>
  </si>
  <si>
    <t>Repairs &amp; Maintenance</t>
  </si>
  <si>
    <t>2025 Budget Worksheet</t>
  </si>
  <si>
    <t>YTD Q3 2024</t>
  </si>
  <si>
    <t>2024 Budget</t>
  </si>
  <si>
    <t>Coffee &amp; Commerce (Before 9) Sponsorships</t>
  </si>
  <si>
    <t>Coffee &amp; Commerce (Before 9) Attendee Fees</t>
  </si>
  <si>
    <t>Coffee &amp; Commerce (Before 9) Expenses</t>
  </si>
  <si>
    <t>Interest Expense</t>
  </si>
  <si>
    <t>Membership Commission - 18%</t>
  </si>
  <si>
    <t>Coffee/Commerce Sponsorships</t>
  </si>
  <si>
    <t>Coffee/Commerce Attendee Fees</t>
  </si>
  <si>
    <t>Coffee/Commerce Expenses</t>
  </si>
  <si>
    <t>Directory Page Review Income</t>
  </si>
  <si>
    <t>Directory Page Review Expense</t>
  </si>
  <si>
    <t>Online Business Listing Only Income</t>
  </si>
  <si>
    <t>Online Business Listing Only Expense</t>
  </si>
  <si>
    <t>Wages - Event Coordinator</t>
  </si>
  <si>
    <t>Total Festival Income</t>
  </si>
  <si>
    <t>Thoughts/Comments:</t>
  </si>
  <si>
    <t>What events are done for 2024 and therefore DO NOT Annualize them; just take YTD #?</t>
  </si>
  <si>
    <t>For events scheduled for Q4, what are the expected incomes &amp; expenses?</t>
  </si>
  <si>
    <t>12X$250</t>
  </si>
  <si>
    <t>+20%</t>
  </si>
  <si>
    <t>Reduced</t>
  </si>
  <si>
    <t>New Salary</t>
  </si>
  <si>
    <t>Through October</t>
  </si>
  <si>
    <t>77% current, 77% New</t>
  </si>
  <si>
    <t>70 in 2024- @$318 avg</t>
  </si>
  <si>
    <t>Dues Increase</t>
  </si>
  <si>
    <t>160 booths @175 4% CC Fee</t>
  </si>
  <si>
    <t>Increased for Entertainment</t>
  </si>
  <si>
    <t>Jan - Oct 2024</t>
  </si>
  <si>
    <t xml:space="preserve">2025 Budget </t>
  </si>
  <si>
    <t>Dues Increase%</t>
  </si>
  <si>
    <t>Sponsorship $ to Events</t>
  </si>
  <si>
    <t>Potential Trades Show income.. More to come</t>
  </si>
  <si>
    <t>Corporate Partnership Income</t>
  </si>
  <si>
    <t>12 Partnerships</t>
  </si>
  <si>
    <t>Advertising Sponsorships (Eblast)</t>
  </si>
  <si>
    <t>1200 plus payroll report</t>
  </si>
  <si>
    <t>7.65% on wages</t>
  </si>
  <si>
    <t>3% of wages if person participates</t>
  </si>
  <si>
    <t>After 90 days</t>
  </si>
  <si>
    <t>Paying for 2 quickbooks subscriptions</t>
  </si>
  <si>
    <t>50 per month</t>
  </si>
  <si>
    <t>5% increase to dues</t>
  </si>
  <si>
    <t>Maintain 77% of current and new members for 2025 Renewal</t>
  </si>
  <si>
    <t>84 new members at avg rate of $329.79 - 7 per month</t>
  </si>
  <si>
    <t>Valor Awards</t>
  </si>
  <si>
    <t>Eliminate video or have sponsorships that zero out cost of video</t>
  </si>
  <si>
    <t>Sponsorship should cover cost of event</t>
  </si>
  <si>
    <t>Fall Festival</t>
  </si>
  <si>
    <t>Sell 160 booths at $175 per booth</t>
  </si>
  <si>
    <t>4% credit card fee added</t>
  </si>
  <si>
    <t>Add $2000 cost for entertainment</t>
  </si>
  <si>
    <t>Sell $2000 in sponsorships</t>
  </si>
  <si>
    <t>EDLA</t>
  </si>
  <si>
    <t>Hold similar legislative event with Fauquier Health sponsoring</t>
  </si>
  <si>
    <t>Potential trades show at Home Depot not accounted for</t>
  </si>
  <si>
    <t>Gala</t>
  </si>
  <si>
    <t>Maintain 2024 Sponsorship Levels</t>
  </si>
  <si>
    <t xml:space="preserve">Slight increase to 2024 Expense </t>
  </si>
  <si>
    <t>Membership Orientation</t>
  </si>
  <si>
    <t>Minimal expense for snacks</t>
  </si>
  <si>
    <t>After 5</t>
  </si>
  <si>
    <t>Expense held to $100 per event</t>
  </si>
  <si>
    <t>Sell 12 After 5 events at $250 each</t>
  </si>
  <si>
    <t>Coffee and Commerce</t>
  </si>
  <si>
    <t>Allow $200 in expense</t>
  </si>
  <si>
    <t>Young Professionals</t>
  </si>
  <si>
    <t>Increase sponsorship to $2000</t>
  </si>
  <si>
    <t>Slight increase to expense</t>
  </si>
  <si>
    <t>Womens' Business Council</t>
  </si>
  <si>
    <t>Sponsorhips and Expenses determined by WBC</t>
  </si>
  <si>
    <t>Member Luncheon</t>
  </si>
  <si>
    <t>Add $1000 in sponsorship</t>
  </si>
  <si>
    <t>Increase cost of attendance/meals to match expense</t>
  </si>
  <si>
    <t>Revenue Assumptions</t>
  </si>
  <si>
    <t>2025 Budget Assumptions</t>
  </si>
  <si>
    <t>Corporate Partnerships</t>
  </si>
  <si>
    <t>Maintain 5 partnerships at $5000 each</t>
  </si>
  <si>
    <t>Add 3 new partnerships at $5000 each</t>
  </si>
  <si>
    <t>Add 4 new partnerships at $3500 each</t>
  </si>
  <si>
    <t>$1000 in E-Blast Sponsorships</t>
  </si>
  <si>
    <t>Directory Page Review</t>
  </si>
  <si>
    <t>Eliminate this revenue stream- idea did not succeed</t>
  </si>
  <si>
    <t>Business Directory</t>
  </si>
  <si>
    <t>Slight increase from 2024 sales to $7500</t>
  </si>
  <si>
    <t>Expense Assumptions</t>
  </si>
  <si>
    <t>Increase 2024 rune rate by 20% to acount for new renewal by cc</t>
  </si>
  <si>
    <t>Reduce to $2000</t>
  </si>
  <si>
    <t>Should be $1200 plus $200 for final report</t>
  </si>
  <si>
    <t>7.65% of wages plus $1500</t>
  </si>
  <si>
    <t>3% of salary after 90 days</t>
  </si>
  <si>
    <t>10 months of $60K x .03</t>
  </si>
  <si>
    <t>Increased $60K for Operations Manager</t>
  </si>
  <si>
    <t>All Other Expenses</t>
  </si>
  <si>
    <t>Held at Run Rate</t>
  </si>
  <si>
    <t>2025 Proposed Budget</t>
  </si>
  <si>
    <t>Total Membership Income</t>
  </si>
  <si>
    <t>Total Events Income</t>
  </si>
  <si>
    <t xml:space="preserve">   Total  Membership Activities Income</t>
  </si>
  <si>
    <t xml:space="preserve">   Total Membership Activities Income</t>
  </si>
  <si>
    <t>2025 Positive Budget</t>
  </si>
  <si>
    <t>2025 Positive Budget Assumptions</t>
  </si>
  <si>
    <t xml:space="preserve">Increase renewals from 77% to 80% of current and new members for 2025 </t>
  </si>
  <si>
    <t>88 new members at avg rate of $350.00</t>
  </si>
  <si>
    <t>Add 5 new partnerships at $3500 each</t>
  </si>
  <si>
    <t>13 Partnerships</t>
  </si>
  <si>
    <t>80% current, 80% New</t>
  </si>
  <si>
    <t>79 in 2024- @$350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</si>
</sst>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0070C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b/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b/>
      <u/>
      <sz val="11"/>
      <color indexed="8"/>
      <name val="Arial"/>
      <family val="2"/>
    </font>
    <font>
      <b/>
      <i/>
      <u/>
      <sz val="11"/>
      <color rgb="FF0070C0"/>
      <name val="Arial"/>
      <family val="2"/>
    </font>
    <font>
      <i/>
      <sz val="12"/>
      <color indexed="8"/>
      <name val="Calibri"/>
      <family val="2"/>
      <scheme val="minor"/>
    </font>
    <font>
      <b/>
      <i/>
      <sz val="16"/>
      <color rgb="FF7030A0"/>
      <name val="Arial"/>
      <family val="2"/>
    </font>
    <font>
      <sz val="11"/>
      <color rgb="FF0070C0"/>
      <name val="Arial"/>
      <family val="2"/>
    </font>
    <font>
      <b/>
      <sz val="11"/>
      <color rgb="FF00B05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4"/>
      <color rgb="FF7030A0"/>
      <name val="Calibri"/>
      <family val="2"/>
      <scheme val="minor"/>
    </font>
    <font>
      <sz val="11"/>
      <name val="Arial"/>
      <family val="2"/>
    </font>
    <font>
      <b/>
      <i/>
      <u/>
      <sz val="12"/>
      <color indexed="8"/>
      <name val="Arial"/>
      <family val="2"/>
    </font>
    <font>
      <b/>
      <sz val="16"/>
      <color rgb="FF7030A0"/>
      <name val="Calibri"/>
      <family val="2"/>
      <scheme val="minor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 style="thin">
        <color auto="1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auto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70C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/>
      <top style="thin">
        <color auto="1"/>
      </top>
      <bottom style="thin">
        <color indexed="64"/>
      </bottom>
      <diagonal/>
    </border>
    <border>
      <left style="thick">
        <color rgb="FF0070C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8" fontId="0" fillId="0" borderId="0" xfId="0" applyNumberForma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 applyAlignment="1">
      <alignment horizontal="center"/>
    </xf>
    <xf numFmtId="8" fontId="7" fillId="0" borderId="0" xfId="0" applyNumberFormat="1" applyFont="1"/>
    <xf numFmtId="8" fontId="3" fillId="0" borderId="0" xfId="0" applyNumberFormat="1" applyFont="1"/>
    <xf numFmtId="8" fontId="3" fillId="0" borderId="1" xfId="0" applyNumberFormat="1" applyFont="1" applyBorder="1"/>
    <xf numFmtId="8" fontId="6" fillId="0" borderId="2" xfId="0" applyNumberFormat="1" applyFont="1" applyBorder="1"/>
    <xf numFmtId="8" fontId="6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40" fontId="3" fillId="0" borderId="0" xfId="0" applyNumberFormat="1" applyFont="1"/>
    <xf numFmtId="0" fontId="3" fillId="0" borderId="0" xfId="0" applyFont="1" applyAlignment="1">
      <alignment horizontal="left" wrapText="1" indent="5"/>
    </xf>
    <xf numFmtId="8" fontId="14" fillId="0" borderId="0" xfId="0" applyNumberFormat="1" applyFont="1" applyAlignment="1">
      <alignment horizontal="center"/>
    </xf>
    <xf numFmtId="164" fontId="3" fillId="0" borderId="4" xfId="1" applyNumberFormat="1" applyFont="1" applyFill="1" applyBorder="1"/>
    <xf numFmtId="164" fontId="3" fillId="0" borderId="3" xfId="1" applyNumberFormat="1" applyFont="1" applyFill="1" applyBorder="1"/>
    <xf numFmtId="0" fontId="3" fillId="0" borderId="0" xfId="0" applyFont="1" applyAlignment="1">
      <alignment horizontal="left" indent="1"/>
    </xf>
    <xf numFmtId="8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0" fontId="9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0" xfId="0" applyNumberFormat="1" applyFont="1"/>
    <xf numFmtId="8" fontId="6" fillId="0" borderId="0" xfId="0" applyNumberFormat="1" applyFont="1"/>
    <xf numFmtId="164" fontId="9" fillId="0" borderId="0" xfId="0" applyNumberFormat="1" applyFont="1"/>
    <xf numFmtId="164" fontId="6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0" fillId="0" borderId="15" xfId="0" applyBorder="1"/>
    <xf numFmtId="0" fontId="0" fillId="0" borderId="4" xfId="0" applyBorder="1"/>
    <xf numFmtId="164" fontId="3" fillId="0" borderId="4" xfId="0" applyNumberFormat="1" applyFont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8" fontId="3" fillId="0" borderId="4" xfId="0" applyNumberFormat="1" applyFont="1" applyBorder="1"/>
    <xf numFmtId="8" fontId="3" fillId="0" borderId="3" xfId="0" applyNumberFormat="1" applyFont="1" applyBorder="1"/>
    <xf numFmtId="8" fontId="6" fillId="0" borderId="4" xfId="0" applyNumberFormat="1" applyFont="1" applyBorder="1"/>
    <xf numFmtId="164" fontId="6" fillId="0" borderId="6" xfId="0" applyNumberFormat="1" applyFont="1" applyBorder="1" applyAlignment="1">
      <alignment horizontal="right" wrapText="1"/>
    </xf>
    <xf numFmtId="164" fontId="6" fillId="0" borderId="5" xfId="0" applyNumberFormat="1" applyFont="1" applyBorder="1"/>
    <xf numFmtId="164" fontId="8" fillId="0" borderId="6" xfId="0" applyNumberFormat="1" applyFont="1" applyBorder="1" applyAlignment="1">
      <alignment horizontal="right" wrapText="1"/>
    </xf>
    <xf numFmtId="164" fontId="8" fillId="0" borderId="7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40" fontId="6" fillId="0" borderId="11" xfId="0" applyNumberFormat="1" applyFont="1" applyBorder="1"/>
    <xf numFmtId="40" fontId="18" fillId="0" borderId="9" xfId="0" applyNumberFormat="1" applyFont="1" applyBorder="1" applyAlignment="1">
      <alignment horizontal="center" wrapText="1"/>
    </xf>
    <xf numFmtId="40" fontId="18" fillId="0" borderId="10" xfId="0" applyNumberFormat="1" applyFont="1" applyBorder="1" applyAlignment="1">
      <alignment horizontal="center" wrapText="1"/>
    </xf>
    <xf numFmtId="40" fontId="3" fillId="0" borderId="11" xfId="0" applyNumberFormat="1" applyFont="1" applyBorder="1"/>
    <xf numFmtId="40" fontId="3" fillId="0" borderId="11" xfId="1" applyNumberFormat="1" applyFont="1" applyFill="1" applyBorder="1"/>
    <xf numFmtId="40" fontId="3" fillId="0" borderId="10" xfId="1" applyNumberFormat="1" applyFont="1" applyFill="1" applyBorder="1"/>
    <xf numFmtId="40" fontId="4" fillId="0" borderId="10" xfId="1" applyNumberFormat="1" applyFont="1" applyFill="1" applyBorder="1"/>
    <xf numFmtId="40" fontId="4" fillId="0" borderId="11" xfId="1" applyNumberFormat="1" applyFont="1" applyFill="1" applyBorder="1"/>
    <xf numFmtId="40" fontId="3" fillId="0" borderId="10" xfId="0" applyNumberFormat="1" applyFont="1" applyBorder="1"/>
    <xf numFmtId="40" fontId="17" fillId="0" borderId="11" xfId="0" applyNumberFormat="1" applyFont="1" applyBorder="1"/>
    <xf numFmtId="40" fontId="6" fillId="0" borderId="13" xfId="0" applyNumberFormat="1" applyFont="1" applyBorder="1"/>
    <xf numFmtId="8" fontId="3" fillId="0" borderId="13" xfId="0" applyNumberFormat="1" applyFont="1" applyBorder="1"/>
    <xf numFmtId="40" fontId="20" fillId="0" borderId="11" xfId="1" applyNumberFormat="1" applyFont="1" applyFill="1" applyBorder="1"/>
    <xf numFmtId="40" fontId="9" fillId="0" borderId="11" xfId="0" applyNumberFormat="1" applyFont="1" applyBorder="1"/>
    <xf numFmtId="40" fontId="6" fillId="0" borderId="12" xfId="0" applyNumberFormat="1" applyFont="1" applyBorder="1"/>
    <xf numFmtId="40" fontId="6" fillId="0" borderId="13" xfId="0" applyNumberFormat="1" applyFont="1" applyBorder="1" applyAlignment="1">
      <alignment horizontal="right" wrapText="1"/>
    </xf>
    <xf numFmtId="40" fontId="9" fillId="0" borderId="13" xfId="0" applyNumberFormat="1" applyFont="1" applyBorder="1" applyAlignment="1">
      <alignment horizontal="right" wrapText="1"/>
    </xf>
    <xf numFmtId="40" fontId="6" fillId="0" borderId="14" xfId="0" applyNumberFormat="1" applyFont="1" applyBorder="1" applyAlignment="1">
      <alignment horizontal="right" wrapText="1"/>
    </xf>
    <xf numFmtId="40" fontId="7" fillId="0" borderId="0" xfId="0" applyNumberFormat="1" applyFont="1"/>
    <xf numFmtId="40" fontId="0" fillId="0" borderId="0" xfId="0" applyNumberFormat="1"/>
    <xf numFmtId="40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8" fontId="5" fillId="2" borderId="1" xfId="0" applyNumberFormat="1" applyFont="1" applyFill="1" applyBorder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8" fontId="3" fillId="2" borderId="0" xfId="0" applyNumberFormat="1" applyFont="1" applyFill="1"/>
    <xf numFmtId="8" fontId="3" fillId="2" borderId="1" xfId="0" applyNumberFormat="1" applyFont="1" applyFill="1" applyBorder="1"/>
    <xf numFmtId="8" fontId="3" fillId="2" borderId="16" xfId="0" applyNumberFormat="1" applyFont="1" applyFill="1" applyBorder="1"/>
    <xf numFmtId="164" fontId="3" fillId="2" borderId="0" xfId="0" applyNumberFormat="1" applyFont="1" applyFill="1"/>
    <xf numFmtId="8" fontId="6" fillId="2" borderId="0" xfId="0" applyNumberFormat="1" applyFont="1" applyFill="1"/>
    <xf numFmtId="8" fontId="6" fillId="2" borderId="1" xfId="0" applyNumberFormat="1" applyFont="1" applyFill="1" applyBorder="1"/>
    <xf numFmtId="164" fontId="6" fillId="2" borderId="0" xfId="0" applyNumberFormat="1" applyFont="1" applyFill="1"/>
    <xf numFmtId="164" fontId="8" fillId="2" borderId="0" xfId="0" applyNumberFormat="1" applyFont="1" applyFill="1"/>
    <xf numFmtId="8" fontId="3" fillId="2" borderId="2" xfId="0" applyNumberFormat="1" applyFont="1" applyFill="1" applyBorder="1"/>
    <xf numFmtId="164" fontId="6" fillId="2" borderId="0" xfId="0" applyNumberFormat="1" applyFont="1" applyFill="1" applyAlignment="1">
      <alignment horizontal="right" wrapText="1"/>
    </xf>
    <xf numFmtId="164" fontId="8" fillId="2" borderId="0" xfId="0" applyNumberFormat="1" applyFont="1" applyFill="1" applyAlignment="1">
      <alignment horizontal="right"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horizontal="right" wrapText="1"/>
    </xf>
    <xf numFmtId="9" fontId="0" fillId="0" borderId="0" xfId="0" quotePrefix="1" applyNumberFormat="1"/>
    <xf numFmtId="8" fontId="3" fillId="3" borderId="4" xfId="0" applyNumberFormat="1" applyFont="1" applyFill="1" applyBorder="1"/>
    <xf numFmtId="0" fontId="6" fillId="4" borderId="0" xfId="0" applyFont="1" applyFill="1" applyAlignment="1">
      <alignment horizontal="center" wrapText="1"/>
    </xf>
    <xf numFmtId="164" fontId="6" fillId="4" borderId="0" xfId="0" applyNumberFormat="1" applyFont="1" applyFill="1"/>
    <xf numFmtId="40" fontId="6" fillId="4" borderId="11" xfId="0" applyNumberFormat="1" applyFont="1" applyFill="1" applyBorder="1"/>
    <xf numFmtId="164" fontId="6" fillId="4" borderId="4" xfId="0" applyNumberFormat="1" applyFont="1" applyFill="1" applyBorder="1"/>
    <xf numFmtId="0" fontId="6" fillId="4" borderId="0" xfId="0" applyFont="1" applyFill="1" applyAlignment="1">
      <alignment horizontal="right" wrapText="1"/>
    </xf>
    <xf numFmtId="8" fontId="6" fillId="4" borderId="0" xfId="0" applyNumberFormat="1" applyFont="1" applyFill="1" applyAlignment="1" applyProtection="1">
      <alignment horizontal="right" wrapText="1"/>
      <protection locked="0"/>
    </xf>
    <xf numFmtId="40" fontId="6" fillId="4" borderId="13" xfId="0" applyNumberFormat="1" applyFont="1" applyFill="1" applyBorder="1" applyAlignment="1" applyProtection="1">
      <alignment horizontal="right" wrapText="1"/>
      <protection locked="0"/>
    </xf>
    <xf numFmtId="8" fontId="6" fillId="4" borderId="6" xfId="0" applyNumberFormat="1" applyFont="1" applyFill="1" applyBorder="1" applyAlignment="1" applyProtection="1">
      <alignment horizontal="right" wrapText="1"/>
      <protection locked="0"/>
    </xf>
    <xf numFmtId="8" fontId="6" fillId="4" borderId="0" xfId="0" applyNumberFormat="1" applyFont="1" applyFill="1"/>
    <xf numFmtId="0" fontId="6" fillId="4" borderId="0" xfId="0" applyFont="1" applyFill="1" applyAlignment="1">
      <alignment wrapText="1"/>
    </xf>
    <xf numFmtId="8" fontId="6" fillId="4" borderId="0" xfId="0" applyNumberFormat="1" applyFont="1" applyFill="1" applyAlignment="1">
      <alignment horizontal="right" wrapText="1"/>
    </xf>
    <xf numFmtId="40" fontId="6" fillId="4" borderId="11" xfId="0" applyNumberFormat="1" applyFont="1" applyFill="1" applyBorder="1" applyAlignment="1">
      <alignment horizontal="right" wrapText="1"/>
    </xf>
    <xf numFmtId="0" fontId="6" fillId="4" borderId="0" xfId="0" applyFont="1" applyFill="1" applyAlignment="1">
      <alignment horizontal="left"/>
    </xf>
    <xf numFmtId="8" fontId="6" fillId="4" borderId="3" xfId="0" applyNumberFormat="1" applyFont="1" applyFill="1" applyBorder="1" applyAlignment="1">
      <alignment horizontal="right" wrapText="1"/>
    </xf>
    <xf numFmtId="0" fontId="6" fillId="5" borderId="0" xfId="0" applyFont="1" applyFill="1" applyAlignment="1">
      <alignment horizontal="center" wrapText="1"/>
    </xf>
    <xf numFmtId="164" fontId="11" fillId="5" borderId="0" xfId="0" applyNumberFormat="1" applyFont="1" applyFill="1"/>
    <xf numFmtId="40" fontId="6" fillId="5" borderId="12" xfId="0" applyNumberFormat="1" applyFont="1" applyFill="1" applyBorder="1"/>
    <xf numFmtId="164" fontId="6" fillId="5" borderId="5" xfId="0" applyNumberFormat="1" applyFont="1" applyFill="1" applyBorder="1"/>
    <xf numFmtId="0" fontId="6" fillId="6" borderId="0" xfId="0" applyFont="1" applyFill="1" applyAlignment="1">
      <alignment horizontal="center" wrapText="1"/>
    </xf>
    <xf numFmtId="164" fontId="6" fillId="6" borderId="4" xfId="0" applyNumberFormat="1" applyFont="1" applyFill="1" applyBorder="1"/>
    <xf numFmtId="8" fontId="8" fillId="6" borderId="4" xfId="0" applyNumberFormat="1" applyFont="1" applyFill="1" applyBorder="1"/>
    <xf numFmtId="8" fontId="6" fillId="6" borderId="6" xfId="0" applyNumberFormat="1" applyFont="1" applyFill="1" applyBorder="1"/>
    <xf numFmtId="8" fontId="6" fillId="6" borderId="4" xfId="0" applyNumberFormat="1" applyFont="1" applyFill="1" applyBorder="1"/>
    <xf numFmtId="164" fontId="9" fillId="6" borderId="4" xfId="0" applyNumberFormat="1" applyFont="1" applyFill="1" applyBorder="1"/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left" wrapText="1"/>
    </xf>
    <xf numFmtId="164" fontId="11" fillId="7" borderId="0" xfId="0" applyNumberFormat="1" applyFont="1" applyFill="1" applyAlignment="1">
      <alignment horizontal="right" wrapText="1"/>
    </xf>
    <xf numFmtId="40" fontId="6" fillId="7" borderId="11" xfId="0" applyNumberFormat="1" applyFont="1" applyFill="1" applyBorder="1" applyAlignment="1">
      <alignment horizontal="right" wrapText="1"/>
    </xf>
    <xf numFmtId="164" fontId="6" fillId="7" borderId="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wrapText="1" indent="3"/>
    </xf>
    <xf numFmtId="0" fontId="6" fillId="0" borderId="0" xfId="0" applyFont="1"/>
    <xf numFmtId="0" fontId="3" fillId="0" borderId="24" xfId="0" applyFont="1" applyBorder="1"/>
    <xf numFmtId="0" fontId="3" fillId="0" borderId="26" xfId="0" applyFont="1" applyBorder="1"/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3" xfId="0" applyBorder="1"/>
    <xf numFmtId="0" fontId="23" fillId="0" borderId="1" xfId="0" applyFont="1" applyBorder="1" applyAlignment="1">
      <alignment horizontal="left" wrapText="1"/>
    </xf>
    <xf numFmtId="0" fontId="6" fillId="4" borderId="29" xfId="0" applyFont="1" applyFill="1" applyBorder="1" applyAlignment="1">
      <alignment horizontal="center" wrapText="1"/>
    </xf>
    <xf numFmtId="164" fontId="6" fillId="4" borderId="5" xfId="0" applyNumberFormat="1" applyFont="1" applyFill="1" applyBorder="1"/>
    <xf numFmtId="0" fontId="3" fillId="0" borderId="30" xfId="0" applyFont="1" applyBorder="1" applyAlignment="1">
      <alignment horizontal="left" wrapText="1" indent="1"/>
    </xf>
    <xf numFmtId="0" fontId="6" fillId="4" borderId="2" xfId="0" applyFont="1" applyFill="1" applyBorder="1" applyAlignment="1">
      <alignment horizontal="center" wrapText="1"/>
    </xf>
    <xf numFmtId="164" fontId="6" fillId="4" borderId="2" xfId="0" applyNumberFormat="1" applyFont="1" applyFill="1" applyBorder="1"/>
    <xf numFmtId="40" fontId="6" fillId="4" borderId="12" xfId="0" applyNumberFormat="1" applyFont="1" applyFill="1" applyBorder="1"/>
    <xf numFmtId="0" fontId="6" fillId="4" borderId="1" xfId="0" applyFont="1" applyFill="1" applyBorder="1" applyAlignment="1">
      <alignment horizontal="center" wrapText="1"/>
    </xf>
    <xf numFmtId="8" fontId="6" fillId="4" borderId="1" xfId="0" applyNumberFormat="1" applyFont="1" applyFill="1" applyBorder="1" applyAlignment="1" applyProtection="1">
      <alignment horizontal="right" wrapText="1"/>
      <protection locked="0"/>
    </xf>
    <xf numFmtId="40" fontId="6" fillId="4" borderId="10" xfId="0" applyNumberFormat="1" applyFont="1" applyFill="1" applyBorder="1" applyAlignment="1" applyProtection="1">
      <alignment horizontal="right" wrapText="1"/>
      <protection locked="0"/>
    </xf>
    <xf numFmtId="8" fontId="6" fillId="4" borderId="3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center" wrapText="1"/>
    </xf>
    <xf numFmtId="40" fontId="6" fillId="0" borderId="10" xfId="0" applyNumberFormat="1" applyFont="1" applyBorder="1"/>
    <xf numFmtId="0" fontId="6" fillId="6" borderId="1" xfId="0" applyFont="1" applyFill="1" applyBorder="1" applyAlignment="1">
      <alignment horizontal="center" wrapText="1"/>
    </xf>
    <xf numFmtId="8" fontId="6" fillId="6" borderId="3" xfId="0" applyNumberFormat="1" applyFont="1" applyFill="1" applyBorder="1"/>
    <xf numFmtId="0" fontId="3" fillId="0" borderId="1" xfId="0" applyFont="1" applyBorder="1" applyAlignment="1">
      <alignment horizontal="left" indent="1"/>
    </xf>
    <xf numFmtId="8" fontId="6" fillId="4" borderId="1" xfId="0" applyNumberFormat="1" applyFont="1" applyFill="1" applyBorder="1"/>
    <xf numFmtId="40" fontId="6" fillId="4" borderId="10" xfId="0" applyNumberFormat="1" applyFont="1" applyFill="1" applyBorder="1"/>
    <xf numFmtId="0" fontId="3" fillId="0" borderId="30" xfId="0" applyFont="1" applyBorder="1" applyAlignment="1">
      <alignment horizontal="left" indent="1"/>
    </xf>
    <xf numFmtId="0" fontId="6" fillId="6" borderId="29" xfId="0" applyFont="1" applyFill="1" applyBorder="1" applyAlignment="1">
      <alignment horizontal="center" wrapText="1"/>
    </xf>
    <xf numFmtId="8" fontId="6" fillId="6" borderId="5" xfId="0" applyNumberFormat="1" applyFont="1" applyFill="1" applyBorder="1"/>
    <xf numFmtId="0" fontId="6" fillId="4" borderId="2" xfId="0" applyFont="1" applyFill="1" applyBorder="1" applyAlignment="1">
      <alignment wrapText="1"/>
    </xf>
    <xf numFmtId="8" fontId="6" fillId="4" borderId="2" xfId="0" applyNumberFormat="1" applyFont="1" applyFill="1" applyBorder="1" applyAlignment="1">
      <alignment horizontal="right" wrapText="1"/>
    </xf>
    <xf numFmtId="40" fontId="6" fillId="4" borderId="12" xfId="0" applyNumberFormat="1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left"/>
    </xf>
    <xf numFmtId="8" fontId="6" fillId="4" borderId="5" xfId="0" applyNumberFormat="1" applyFont="1" applyFill="1" applyBorder="1" applyAlignment="1">
      <alignment horizontal="right" wrapText="1"/>
    </xf>
    <xf numFmtId="164" fontId="11" fillId="7" borderId="32" xfId="0" applyNumberFormat="1" applyFont="1" applyFill="1" applyBorder="1" applyAlignment="1">
      <alignment horizontal="right" wrapText="1"/>
    </xf>
    <xf numFmtId="40" fontId="6" fillId="7" borderId="33" xfId="0" applyNumberFormat="1" applyFont="1" applyFill="1" applyBorder="1" applyAlignment="1">
      <alignment horizontal="right" wrapText="1"/>
    </xf>
    <xf numFmtId="164" fontId="6" fillId="7" borderId="18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40" fontId="3" fillId="0" borderId="12" xfId="0" applyNumberFormat="1" applyFont="1" applyBorder="1"/>
    <xf numFmtId="0" fontId="23" fillId="0" borderId="2" xfId="0" applyFont="1" applyBorder="1" applyAlignment="1">
      <alignment horizontal="left" wrapText="1"/>
    </xf>
    <xf numFmtId="0" fontId="0" fillId="0" borderId="5" xfId="0" applyBorder="1"/>
    <xf numFmtId="0" fontId="23" fillId="7" borderId="31" xfId="0" applyFont="1" applyFill="1" applyBorder="1" applyAlignment="1">
      <alignment horizontal="left" wrapText="1"/>
    </xf>
    <xf numFmtId="0" fontId="23" fillId="7" borderId="32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left" wrapText="1"/>
    </xf>
    <xf numFmtId="164" fontId="11" fillId="5" borderId="2" xfId="0" applyNumberFormat="1" applyFont="1" applyFill="1" applyBorder="1"/>
    <xf numFmtId="0" fontId="1" fillId="4" borderId="2" xfId="0" applyFont="1" applyFill="1" applyBorder="1" applyAlignment="1">
      <alignment horizontal="left" wrapText="1"/>
    </xf>
    <xf numFmtId="164" fontId="9" fillId="4" borderId="2" xfId="0" applyNumberFormat="1" applyFont="1" applyFill="1" applyBorder="1" applyAlignment="1">
      <alignment horizontal="right" wrapText="1"/>
    </xf>
    <xf numFmtId="164" fontId="8" fillId="4" borderId="2" xfId="0" applyNumberFormat="1" applyFont="1" applyFill="1" applyBorder="1" applyAlignment="1">
      <alignment horizontal="right" wrapText="1"/>
    </xf>
    <xf numFmtId="40" fontId="9" fillId="4" borderId="12" xfId="0" applyNumberFormat="1" applyFont="1" applyFill="1" applyBorder="1" applyAlignment="1">
      <alignment horizontal="right" wrapText="1"/>
    </xf>
    <xf numFmtId="164" fontId="8" fillId="4" borderId="5" xfId="0" applyNumberFormat="1" applyFont="1" applyFill="1" applyBorder="1" applyAlignment="1">
      <alignment horizontal="right" wrapText="1"/>
    </xf>
    <xf numFmtId="164" fontId="11" fillId="0" borderId="2" xfId="0" applyNumberFormat="1" applyFont="1" applyBorder="1"/>
    <xf numFmtId="0" fontId="1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right" wrapText="1"/>
    </xf>
    <xf numFmtId="40" fontId="9" fillId="0" borderId="11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>
      <alignment horizontal="right" wrapText="1"/>
    </xf>
    <xf numFmtId="164" fontId="6" fillId="2" borderId="1" xfId="0" applyNumberFormat="1" applyFont="1" applyFill="1" applyBorder="1"/>
    <xf numFmtId="164" fontId="3" fillId="2" borderId="1" xfId="0" applyNumberFormat="1" applyFont="1" applyFill="1" applyBorder="1"/>
    <xf numFmtId="164" fontId="9" fillId="0" borderId="6" xfId="0" applyNumberFormat="1" applyFont="1" applyBorder="1" applyAlignment="1">
      <alignment horizontal="right" wrapText="1"/>
    </xf>
    <xf numFmtId="164" fontId="9" fillId="4" borderId="5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4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3" fillId="0" borderId="17" xfId="0" applyFont="1" applyBorder="1"/>
    <xf numFmtId="0" fontId="3" fillId="0" borderId="25" xfId="0" applyFont="1" applyBorder="1"/>
    <xf numFmtId="0" fontId="6" fillId="0" borderId="24" xfId="0" applyFont="1" applyBorder="1"/>
    <xf numFmtId="0" fontId="6" fillId="0" borderId="17" xfId="0" applyFont="1" applyBorder="1"/>
    <xf numFmtId="0" fontId="6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19" fillId="0" borderId="4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3" fillId="0" borderId="17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17" xfId="0" applyFont="1" applyFill="1" applyBorder="1"/>
    <xf numFmtId="0" fontId="3" fillId="0" borderId="2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E6D2-86CC-4116-91F2-2E8D10D20F62}">
  <sheetPr>
    <pageSetUpPr fitToPage="1"/>
  </sheetPr>
  <dimension ref="A1:I185"/>
  <sheetViews>
    <sheetView tabSelected="1" zoomScaleNormal="100" workbookViewId="0">
      <pane xSplit="1" ySplit="6" topLeftCell="B7" activePane="bottomRight" state="frozen"/>
      <selection activeCell="I50" sqref="I50"/>
      <selection pane="topRight" activeCell="I50" sqref="I50"/>
      <selection pane="bottomLeft" activeCell="I50" sqref="I50"/>
      <selection pane="bottomRight" activeCell="F13" sqref="F13"/>
    </sheetView>
  </sheetViews>
  <sheetFormatPr defaultRowHeight="15" x14ac:dyDescent="0.25"/>
  <cols>
    <col min="1" max="1" width="41.42578125" customWidth="1"/>
    <col min="2" max="3" width="15.85546875" style="2" customWidth="1"/>
    <col min="4" max="4" width="15.140625" style="71" customWidth="1"/>
    <col min="5" max="5" width="39.85546875" style="16" customWidth="1"/>
    <col min="6" max="6" width="26.140625" customWidth="1"/>
    <col min="7" max="7" width="29.85546875" customWidth="1"/>
    <col min="8" max="8" width="10.85546875" bestFit="1" customWidth="1"/>
    <col min="9" max="9" width="9.5703125" bestFit="1" customWidth="1"/>
  </cols>
  <sheetData>
    <row r="1" spans="1:9" ht="18" x14ac:dyDescent="0.25">
      <c r="A1" s="178" t="s">
        <v>9</v>
      </c>
      <c r="B1" s="178"/>
      <c r="C1" s="178"/>
      <c r="D1" s="178"/>
      <c r="E1" s="178"/>
      <c r="F1" s="178"/>
    </row>
    <row r="2" spans="1:9" ht="18" x14ac:dyDescent="0.25">
      <c r="A2" s="178" t="s">
        <v>225</v>
      </c>
      <c r="B2" s="178"/>
      <c r="C2" s="178"/>
      <c r="D2" s="178"/>
      <c r="E2" s="178"/>
      <c r="F2" s="178"/>
    </row>
    <row r="3" spans="1:9" ht="18" x14ac:dyDescent="0.25">
      <c r="A3" s="179"/>
      <c r="B3" s="179"/>
      <c r="C3" s="179"/>
      <c r="D3" s="179"/>
      <c r="E3" s="179"/>
      <c r="F3" s="179"/>
    </row>
    <row r="4" spans="1:9" ht="21" thickBot="1" x14ac:dyDescent="0.35">
      <c r="A4" s="9"/>
      <c r="B4" s="24"/>
      <c r="C4" s="24"/>
      <c r="D4" s="22"/>
      <c r="E4" s="15"/>
      <c r="F4" s="39"/>
    </row>
    <row r="5" spans="1:9" ht="55.5" customHeight="1" thickTop="1" x14ac:dyDescent="0.25">
      <c r="A5" s="9"/>
      <c r="B5" s="72" t="s">
        <v>124</v>
      </c>
      <c r="C5" s="73">
        <v>2024</v>
      </c>
      <c r="D5" s="53" t="s">
        <v>115</v>
      </c>
      <c r="E5" s="28"/>
      <c r="F5" s="180" t="s">
        <v>154</v>
      </c>
    </row>
    <row r="6" spans="1:9" ht="15.75" thickBot="1" x14ac:dyDescent="0.3">
      <c r="A6" s="1"/>
      <c r="B6" s="74" t="s">
        <v>153</v>
      </c>
      <c r="C6" s="75" t="s">
        <v>108</v>
      </c>
      <c r="D6" s="54" t="s">
        <v>125</v>
      </c>
      <c r="E6" s="29"/>
      <c r="F6" s="181"/>
    </row>
    <row r="7" spans="1:9" ht="18" x14ac:dyDescent="0.25">
      <c r="A7" s="124" t="s">
        <v>0</v>
      </c>
      <c r="B7" s="77"/>
      <c r="C7" s="77"/>
      <c r="D7" s="60"/>
      <c r="E7" s="127" t="s">
        <v>0</v>
      </c>
      <c r="F7" s="126"/>
    </row>
    <row r="8" spans="1:9" x14ac:dyDescent="0.25">
      <c r="A8" s="3" t="s">
        <v>10</v>
      </c>
      <c r="B8" s="76"/>
      <c r="C8" s="76"/>
      <c r="D8" s="55"/>
      <c r="E8" s="3" t="s">
        <v>10</v>
      </c>
      <c r="F8" s="40"/>
    </row>
    <row r="9" spans="1:9" x14ac:dyDescent="0.25">
      <c r="A9" s="5" t="s">
        <v>12</v>
      </c>
      <c r="B9" s="76">
        <v>3790</v>
      </c>
      <c r="C9" s="76">
        <f>B9/10*12</f>
        <v>4548</v>
      </c>
      <c r="D9" s="56">
        <v>10250</v>
      </c>
      <c r="E9" s="5" t="s">
        <v>12</v>
      </c>
      <c r="F9" s="25">
        <f>'2025 Budget Worksheet Positive'!I10</f>
        <v>4840</v>
      </c>
    </row>
    <row r="10" spans="1:9" ht="24.6" customHeight="1" x14ac:dyDescent="0.25">
      <c r="A10" s="5" t="s">
        <v>11</v>
      </c>
      <c r="B10" s="76">
        <v>59241</v>
      </c>
      <c r="C10" s="76">
        <f t="shared" ref="C10:C11" si="0">B10/10*12</f>
        <v>71089.200000000012</v>
      </c>
      <c r="D10" s="56">
        <v>99500</v>
      </c>
      <c r="E10" s="5" t="s">
        <v>11</v>
      </c>
      <c r="F10" s="25">
        <f>'2025 Budget Worksheet Positive'!I11</f>
        <v>82984.608000000022</v>
      </c>
      <c r="G10" s="30"/>
    </row>
    <row r="11" spans="1:9" ht="22.7" customHeight="1" x14ac:dyDescent="0.25">
      <c r="A11" s="5" t="s">
        <v>13</v>
      </c>
      <c r="B11" s="76">
        <v>23085</v>
      </c>
      <c r="C11" s="76">
        <f t="shared" si="0"/>
        <v>27702</v>
      </c>
      <c r="D11" s="56">
        <v>62012.5</v>
      </c>
      <c r="E11" s="5" t="s">
        <v>13</v>
      </c>
      <c r="F11" s="25">
        <f>'2025 Budget Worksheet Positive'!I12</f>
        <v>32340</v>
      </c>
      <c r="G11" s="30"/>
      <c r="H11" s="2"/>
      <c r="I11" s="2"/>
    </row>
    <row r="12" spans="1:9" ht="14.45" customHeight="1" x14ac:dyDescent="0.25">
      <c r="A12" s="51" t="s">
        <v>130</v>
      </c>
      <c r="B12" s="77">
        <v>0</v>
      </c>
      <c r="C12" s="78">
        <f>B12/9*12</f>
        <v>0</v>
      </c>
      <c r="D12" s="57">
        <v>-13007.25</v>
      </c>
      <c r="E12" s="51"/>
      <c r="F12" s="25">
        <f>'2025 Budget Worksheet Positive'!I13</f>
        <v>0</v>
      </c>
      <c r="G12" s="30"/>
    </row>
    <row r="13" spans="1:9" ht="29.45" customHeight="1" x14ac:dyDescent="0.25">
      <c r="A13" s="131" t="s">
        <v>14</v>
      </c>
      <c r="B13" s="132">
        <f>SUM(B9:B12)</f>
        <v>86116</v>
      </c>
      <c r="C13" s="132">
        <f>SUM(C9:C12)</f>
        <v>103339.20000000001</v>
      </c>
      <c r="D13" s="133">
        <f>SUM(D9:D12)</f>
        <v>158755.25</v>
      </c>
      <c r="E13" s="128" t="s">
        <v>221</v>
      </c>
      <c r="F13" s="129">
        <f>SUM(F9:F12)</f>
        <v>120164.60800000002</v>
      </c>
    </row>
    <row r="14" spans="1:9" x14ac:dyDescent="0.25">
      <c r="A14" s="3" t="s">
        <v>15</v>
      </c>
      <c r="B14" s="76"/>
      <c r="C14" s="76"/>
      <c r="D14" s="55"/>
      <c r="E14" s="3" t="s">
        <v>15</v>
      </c>
      <c r="F14" s="41"/>
    </row>
    <row r="15" spans="1:9" x14ac:dyDescent="0.25">
      <c r="A15" s="5" t="s">
        <v>16</v>
      </c>
      <c r="B15" s="76">
        <v>25050</v>
      </c>
      <c r="C15" s="76">
        <f>+B15</f>
        <v>25050</v>
      </c>
      <c r="D15" s="56">
        <v>12000</v>
      </c>
      <c r="E15" s="5" t="s">
        <v>16</v>
      </c>
      <c r="F15" s="25">
        <f>'2025 Budget Worksheet Positive'!I16</f>
        <v>15000</v>
      </c>
    </row>
    <row r="16" spans="1:9" x14ac:dyDescent="0.25">
      <c r="A16" s="5" t="s">
        <v>17</v>
      </c>
      <c r="B16" s="76">
        <v>1400</v>
      </c>
      <c r="C16" s="76">
        <f>+B16</f>
        <v>1400</v>
      </c>
      <c r="D16" s="56">
        <v>1750</v>
      </c>
      <c r="E16" s="5" t="s">
        <v>17</v>
      </c>
      <c r="F16" s="25">
        <f>'2025 Budget Worksheet Positive'!I17</f>
        <v>1750</v>
      </c>
    </row>
    <row r="17" spans="1:7" x14ac:dyDescent="0.25">
      <c r="A17" s="5" t="s">
        <v>18</v>
      </c>
      <c r="B17" s="77">
        <v>-24795.919999999998</v>
      </c>
      <c r="C17" s="78">
        <f>+B17</f>
        <v>-24795.919999999998</v>
      </c>
      <c r="D17" s="58">
        <v>-10000</v>
      </c>
      <c r="E17" s="130" t="s">
        <v>18</v>
      </c>
      <c r="F17" s="45">
        <f>'2025 Budget Worksheet Positive'!I18</f>
        <v>-15000</v>
      </c>
    </row>
    <row r="18" spans="1:7" x14ac:dyDescent="0.25">
      <c r="A18" s="6" t="s">
        <v>19</v>
      </c>
      <c r="B18" s="82">
        <f t="shared" ref="B18:C18" si="1">SUM(B15:B17)</f>
        <v>1654.0800000000017</v>
      </c>
      <c r="C18" s="82">
        <f t="shared" si="1"/>
        <v>1654.0800000000017</v>
      </c>
      <c r="D18" s="52">
        <f>SUM(D15:D17)</f>
        <v>3750</v>
      </c>
      <c r="E18" s="109" t="s">
        <v>19</v>
      </c>
      <c r="F18" s="110">
        <f>SUM(F15:F17)</f>
        <v>1750</v>
      </c>
    </row>
    <row r="19" spans="1:7" x14ac:dyDescent="0.25">
      <c r="A19" s="3"/>
      <c r="B19" s="76"/>
      <c r="C19" s="76"/>
      <c r="D19" s="55"/>
      <c r="E19" s="3"/>
      <c r="F19" s="41"/>
    </row>
    <row r="20" spans="1:7" x14ac:dyDescent="0.25">
      <c r="A20" s="5" t="s">
        <v>117</v>
      </c>
      <c r="B20" s="76">
        <v>0</v>
      </c>
      <c r="C20" s="76">
        <f>B20/9*12</f>
        <v>0</v>
      </c>
      <c r="D20" s="56">
        <v>4000</v>
      </c>
      <c r="E20" s="5" t="s">
        <v>109</v>
      </c>
      <c r="F20" s="25">
        <f>'2025 Budget Worksheet Positive'!I21</f>
        <v>2000</v>
      </c>
      <c r="G20" s="2"/>
    </row>
    <row r="21" spans="1:7" x14ac:dyDescent="0.25">
      <c r="A21" s="5" t="s">
        <v>118</v>
      </c>
      <c r="B21" s="76">
        <v>29571.22</v>
      </c>
      <c r="C21" s="76">
        <f>+B21</f>
        <v>29571.22</v>
      </c>
      <c r="D21" s="56">
        <v>14400</v>
      </c>
      <c r="E21" s="5" t="s">
        <v>110</v>
      </c>
      <c r="F21" s="25">
        <f>'2025 Budget Worksheet Positive'!I22</f>
        <v>29120</v>
      </c>
    </row>
    <row r="22" spans="1:7" x14ac:dyDescent="0.25">
      <c r="A22" s="5" t="s">
        <v>119</v>
      </c>
      <c r="B22" s="77">
        <v>-4751.7700000000004</v>
      </c>
      <c r="C22" s="78">
        <f>B22</f>
        <v>-4751.7700000000004</v>
      </c>
      <c r="D22" s="58">
        <v>-7103.98</v>
      </c>
      <c r="E22" s="130" t="s">
        <v>111</v>
      </c>
      <c r="F22" s="45">
        <f>'2025 Budget Worksheet Positive'!I23</f>
        <v>-6751.77</v>
      </c>
    </row>
    <row r="23" spans="1:7" x14ac:dyDescent="0.25">
      <c r="A23" s="6" t="s">
        <v>139</v>
      </c>
      <c r="B23" s="82">
        <f t="shared" ref="B23:C23" si="2">SUM(B20:B22)</f>
        <v>24819.45</v>
      </c>
      <c r="C23" s="82">
        <f t="shared" si="2"/>
        <v>24819.45</v>
      </c>
      <c r="D23" s="52">
        <f>SUM(D20:D22)</f>
        <v>11296.02</v>
      </c>
      <c r="E23" s="109" t="s">
        <v>139</v>
      </c>
      <c r="F23" s="110">
        <f>SUM(F20:F22)</f>
        <v>24368.23</v>
      </c>
    </row>
    <row r="24" spans="1:7" x14ac:dyDescent="0.25">
      <c r="A24" s="3"/>
      <c r="B24" s="76"/>
      <c r="C24" s="76"/>
      <c r="D24" s="55"/>
      <c r="E24" s="3"/>
      <c r="F24" s="41"/>
    </row>
    <row r="25" spans="1:7" x14ac:dyDescent="0.25">
      <c r="A25" s="5" t="s">
        <v>20</v>
      </c>
      <c r="B25" s="76">
        <v>100</v>
      </c>
      <c r="C25" s="76">
        <f>B25</f>
        <v>100</v>
      </c>
      <c r="D25" s="56"/>
      <c r="E25" s="5" t="s">
        <v>20</v>
      </c>
      <c r="F25" s="25">
        <f>'2025 Budget Worksheet Positive'!I26</f>
        <v>250</v>
      </c>
    </row>
    <row r="26" spans="1:7" x14ac:dyDescent="0.25">
      <c r="A26" s="5" t="s">
        <v>21</v>
      </c>
      <c r="B26" s="76">
        <v>1175</v>
      </c>
      <c r="C26" s="76">
        <f t="shared" ref="C26:C27" si="3">B26</f>
        <v>1175</v>
      </c>
      <c r="D26" s="56">
        <v>1200</v>
      </c>
      <c r="E26" s="5" t="s">
        <v>21</v>
      </c>
      <c r="F26" s="25">
        <f>'2025 Budget Worksheet Positive'!I27</f>
        <v>1500</v>
      </c>
    </row>
    <row r="27" spans="1:7" x14ac:dyDescent="0.25">
      <c r="A27" s="5" t="s">
        <v>22</v>
      </c>
      <c r="B27" s="76">
        <v>-185.07</v>
      </c>
      <c r="C27" s="76">
        <f t="shared" si="3"/>
        <v>-185.07</v>
      </c>
      <c r="D27" s="59">
        <v>-1200</v>
      </c>
      <c r="E27" s="5" t="s">
        <v>22</v>
      </c>
      <c r="F27" s="44">
        <f>'2025 Budget Worksheet Positive'!I28</f>
        <v>-500</v>
      </c>
    </row>
    <row r="28" spans="1:7" ht="19.350000000000001" customHeight="1" x14ac:dyDescent="0.25">
      <c r="A28" s="5" t="s">
        <v>77</v>
      </c>
      <c r="B28" s="76"/>
      <c r="C28" s="76">
        <f t="shared" ref="C28:C30" si="4">B28/9*12</f>
        <v>0</v>
      </c>
      <c r="D28" s="55"/>
      <c r="E28" s="5" t="s">
        <v>77</v>
      </c>
      <c r="F28" s="25">
        <f>'2025 Budget Worksheet Positive'!I29</f>
        <v>0</v>
      </c>
    </row>
    <row r="29" spans="1:7" ht="18" customHeight="1" x14ac:dyDescent="0.25">
      <c r="A29" s="5" t="s">
        <v>78</v>
      </c>
      <c r="B29" s="76">
        <v>30</v>
      </c>
      <c r="C29" s="76">
        <f>B29</f>
        <v>30</v>
      </c>
      <c r="D29" s="55">
        <v>0</v>
      </c>
      <c r="E29" s="5" t="s">
        <v>78</v>
      </c>
      <c r="F29" s="25">
        <f>'2025 Budget Worksheet Positive'!I30</f>
        <v>0</v>
      </c>
    </row>
    <row r="30" spans="1:7" x14ac:dyDescent="0.25">
      <c r="A30" s="5" t="s">
        <v>79</v>
      </c>
      <c r="B30" s="77"/>
      <c r="C30" s="78">
        <f t="shared" si="4"/>
        <v>0</v>
      </c>
      <c r="D30" s="60">
        <v>0</v>
      </c>
      <c r="E30" s="130" t="s">
        <v>79</v>
      </c>
      <c r="F30" s="45">
        <f>'2025 Budget Worksheet Positive'!I31</f>
        <v>0</v>
      </c>
    </row>
    <row r="31" spans="1:7" x14ac:dyDescent="0.25">
      <c r="A31" s="6" t="s">
        <v>23</v>
      </c>
      <c r="B31" s="82">
        <f t="shared" ref="B31:D31" si="5">SUM(B25:B30)</f>
        <v>1119.93</v>
      </c>
      <c r="C31" s="82">
        <f t="shared" si="5"/>
        <v>1119.93</v>
      </c>
      <c r="D31" s="52">
        <f t="shared" si="5"/>
        <v>0</v>
      </c>
      <c r="E31" s="109" t="s">
        <v>23</v>
      </c>
      <c r="F31" s="110">
        <f>SUM(F25:F30)</f>
        <v>1250</v>
      </c>
    </row>
    <row r="32" spans="1:7" x14ac:dyDescent="0.25">
      <c r="A32" s="3"/>
      <c r="B32" s="76"/>
      <c r="C32" s="76"/>
      <c r="D32" s="55"/>
      <c r="E32" s="3"/>
      <c r="F32" s="44"/>
    </row>
    <row r="33" spans="1:7" x14ac:dyDescent="0.25">
      <c r="A33" s="5" t="s">
        <v>24</v>
      </c>
      <c r="B33" s="76">
        <v>5725</v>
      </c>
      <c r="C33" s="76">
        <f>B33/9*12</f>
        <v>7633.333333333333</v>
      </c>
      <c r="D33" s="55">
        <v>5000</v>
      </c>
      <c r="E33" s="5" t="s">
        <v>112</v>
      </c>
      <c r="F33" s="44">
        <f>'2025 Budget Worksheet Positive'!I34</f>
        <v>14100</v>
      </c>
    </row>
    <row r="34" spans="1:7" x14ac:dyDescent="0.25">
      <c r="A34" s="5" t="s">
        <v>25</v>
      </c>
      <c r="B34" s="76">
        <v>5350</v>
      </c>
      <c r="C34" s="76">
        <f>B34/9*12</f>
        <v>7133.3333333333339</v>
      </c>
      <c r="D34" s="55">
        <v>1600</v>
      </c>
      <c r="E34" s="5" t="s">
        <v>113</v>
      </c>
      <c r="F34" s="44">
        <f>'2025 Budget Worksheet Positive'!I35</f>
        <v>8725</v>
      </c>
    </row>
    <row r="35" spans="1:7" x14ac:dyDescent="0.25">
      <c r="A35" s="5" t="s">
        <v>26</v>
      </c>
      <c r="B35" s="77">
        <v>-6492.64</v>
      </c>
      <c r="C35" s="78">
        <f>B35/9*12</f>
        <v>-8656.8533333333344</v>
      </c>
      <c r="D35" s="60">
        <v>-20000</v>
      </c>
      <c r="E35" s="130" t="s">
        <v>94</v>
      </c>
      <c r="F35" s="45">
        <f>'2025 Budget Worksheet Positive'!I36</f>
        <v>-25000</v>
      </c>
      <c r="G35" s="2"/>
    </row>
    <row r="36" spans="1:7" x14ac:dyDescent="0.25">
      <c r="A36" s="6" t="s">
        <v>27</v>
      </c>
      <c r="B36" s="87">
        <f t="shared" ref="B36:D36" si="6">SUM(B33:B35)</f>
        <v>4582.3599999999997</v>
      </c>
      <c r="C36" s="87">
        <f t="shared" si="6"/>
        <v>6109.8133333333335</v>
      </c>
      <c r="D36" s="61">
        <f t="shared" si="6"/>
        <v>-13400</v>
      </c>
      <c r="E36" s="109" t="s">
        <v>114</v>
      </c>
      <c r="F36" s="111">
        <f>SUM(F33:F35)</f>
        <v>-2175</v>
      </c>
    </row>
    <row r="37" spans="1:7" x14ac:dyDescent="0.25">
      <c r="B37" s="76"/>
      <c r="C37" s="76"/>
      <c r="D37" s="55"/>
      <c r="E37" s="3"/>
      <c r="F37" s="44"/>
    </row>
    <row r="38" spans="1:7" x14ac:dyDescent="0.25">
      <c r="A38" s="4" t="s">
        <v>97</v>
      </c>
      <c r="B38" s="76">
        <v>77</v>
      </c>
      <c r="C38" s="76">
        <f>B38/9*12</f>
        <v>102.66666666666666</v>
      </c>
      <c r="D38" s="55">
        <v>-1500</v>
      </c>
      <c r="E38" s="5" t="s">
        <v>97</v>
      </c>
      <c r="F38" s="44">
        <f>'2025 Budget Worksheet Positive'!I39</f>
        <v>0</v>
      </c>
    </row>
    <row r="39" spans="1:7" x14ac:dyDescent="0.25">
      <c r="A39" s="4" t="s">
        <v>98</v>
      </c>
      <c r="B39" s="77">
        <v>-104.89</v>
      </c>
      <c r="C39" s="78">
        <f>B39/9*12</f>
        <v>-139.85333333333332</v>
      </c>
      <c r="D39" s="60">
        <v>1500</v>
      </c>
      <c r="E39" s="130" t="s">
        <v>98</v>
      </c>
      <c r="F39" s="45">
        <f>'2025 Budget Worksheet Positive'!I40</f>
        <v>-150</v>
      </c>
    </row>
    <row r="40" spans="1:7" x14ac:dyDescent="0.25">
      <c r="A40" s="6" t="s">
        <v>99</v>
      </c>
      <c r="B40" s="80">
        <f t="shared" ref="B40:D40" si="7">+B39+B38</f>
        <v>-27.89</v>
      </c>
      <c r="C40" s="80">
        <f t="shared" si="7"/>
        <v>-37.186666666666667</v>
      </c>
      <c r="D40" s="62">
        <f t="shared" si="7"/>
        <v>0</v>
      </c>
      <c r="E40" s="109" t="s">
        <v>99</v>
      </c>
      <c r="F40" s="113">
        <f>+F39+F38</f>
        <v>-150</v>
      </c>
    </row>
    <row r="41" spans="1:7" x14ac:dyDescent="0.25">
      <c r="A41" s="6"/>
      <c r="B41" s="80"/>
      <c r="C41" s="76"/>
      <c r="D41" s="52"/>
      <c r="E41" s="6"/>
      <c r="F41" s="46"/>
    </row>
    <row r="42" spans="1:7" x14ac:dyDescent="0.25">
      <c r="A42" s="4" t="s">
        <v>120</v>
      </c>
      <c r="B42" s="76">
        <v>2757</v>
      </c>
      <c r="C42" s="76">
        <f>B42/10*12</f>
        <v>3308.3999999999996</v>
      </c>
      <c r="D42" s="55">
        <v>2400</v>
      </c>
      <c r="E42" s="5" t="s">
        <v>120</v>
      </c>
      <c r="F42" s="44">
        <f>'2025 Budget Worksheet Positive'!I43</f>
        <v>3000</v>
      </c>
    </row>
    <row r="43" spans="1:7" x14ac:dyDescent="0.25">
      <c r="A43" s="4" t="s">
        <v>100</v>
      </c>
      <c r="B43" s="77">
        <v>-1137.49</v>
      </c>
      <c r="C43" s="78">
        <f>B43/10*12</f>
        <v>-1364.9879999999998</v>
      </c>
      <c r="D43" s="60">
        <v>-600</v>
      </c>
      <c r="E43" s="130" t="s">
        <v>100</v>
      </c>
      <c r="F43" s="45">
        <f>'2025 Budget Worksheet Positive'!I44</f>
        <v>-1200</v>
      </c>
    </row>
    <row r="44" spans="1:7" x14ac:dyDescent="0.25">
      <c r="A44" s="6" t="s">
        <v>121</v>
      </c>
      <c r="B44" s="80">
        <f t="shared" ref="B44:D44" si="8">SUM(B42:B43)</f>
        <v>1619.51</v>
      </c>
      <c r="C44" s="80">
        <f t="shared" si="8"/>
        <v>1943.4119999999998</v>
      </c>
      <c r="D44" s="63">
        <f t="shared" si="8"/>
        <v>1800</v>
      </c>
      <c r="E44" s="109" t="s">
        <v>121</v>
      </c>
      <c r="F44" s="113">
        <f>SUM(F42:F43)</f>
        <v>1800</v>
      </c>
    </row>
    <row r="45" spans="1:7" x14ac:dyDescent="0.25">
      <c r="A45" s="4"/>
      <c r="B45" s="80"/>
      <c r="C45" s="76"/>
      <c r="D45" s="52"/>
      <c r="E45" s="4"/>
      <c r="F45" s="46"/>
    </row>
    <row r="46" spans="1:7" ht="29.25" x14ac:dyDescent="0.25">
      <c r="A46" s="4" t="s">
        <v>126</v>
      </c>
      <c r="B46" s="76">
        <v>0</v>
      </c>
      <c r="C46" s="76">
        <f>B46/9*12</f>
        <v>0</v>
      </c>
      <c r="D46" s="55"/>
      <c r="E46" s="5" t="s">
        <v>131</v>
      </c>
      <c r="F46" s="44">
        <f>'2025 Budget Worksheet Positive'!I47</f>
        <v>0</v>
      </c>
    </row>
    <row r="47" spans="1:7" ht="29.25" x14ac:dyDescent="0.25">
      <c r="A47" s="4" t="s">
        <v>127</v>
      </c>
      <c r="B47" s="76">
        <v>0</v>
      </c>
      <c r="C47" s="76">
        <f>B47/9*12</f>
        <v>0</v>
      </c>
      <c r="D47" s="55"/>
      <c r="E47" s="5" t="s">
        <v>132</v>
      </c>
      <c r="F47" s="44">
        <f>'2025 Budget Worksheet Positive'!I48</f>
        <v>0</v>
      </c>
    </row>
    <row r="48" spans="1:7" x14ac:dyDescent="0.25">
      <c r="A48" s="4" t="s">
        <v>128</v>
      </c>
      <c r="B48" s="77">
        <v>-181.43</v>
      </c>
      <c r="C48" s="78">
        <f>B48/10*12</f>
        <v>-217.71600000000001</v>
      </c>
      <c r="D48" s="60"/>
      <c r="E48" s="130" t="s">
        <v>133</v>
      </c>
      <c r="F48" s="45">
        <f>'2025 Budget Worksheet Positive'!I49</f>
        <v>-200</v>
      </c>
    </row>
    <row r="49" spans="1:6" x14ac:dyDescent="0.25">
      <c r="A49" s="6" t="s">
        <v>101</v>
      </c>
      <c r="B49" s="80">
        <f t="shared" ref="B49:D49" si="9">SUM(B46:B48)</f>
        <v>-181.43</v>
      </c>
      <c r="C49" s="80">
        <f t="shared" si="9"/>
        <v>-217.71600000000001</v>
      </c>
      <c r="D49" s="52">
        <f t="shared" si="9"/>
        <v>0</v>
      </c>
      <c r="E49" s="109" t="s">
        <v>101</v>
      </c>
      <c r="F49" s="113">
        <f>SUM(F46:F48)</f>
        <v>-200</v>
      </c>
    </row>
    <row r="50" spans="1:6" x14ac:dyDescent="0.25">
      <c r="A50" s="6"/>
      <c r="B50" s="80"/>
      <c r="C50" s="76"/>
      <c r="D50" s="52"/>
      <c r="E50" s="6"/>
      <c r="F50" s="46"/>
    </row>
    <row r="51" spans="1:6" x14ac:dyDescent="0.25">
      <c r="A51" s="4" t="s">
        <v>102</v>
      </c>
      <c r="B51" s="76">
        <v>0</v>
      </c>
      <c r="C51" s="76">
        <f>B51/9*12</f>
        <v>0</v>
      </c>
      <c r="D51" s="55">
        <v>0</v>
      </c>
      <c r="E51" s="5" t="s">
        <v>102</v>
      </c>
      <c r="F51" s="44">
        <f>'2025 Budget Worksheet Positive'!I52</f>
        <v>0</v>
      </c>
    </row>
    <row r="52" spans="1:6" x14ac:dyDescent="0.25">
      <c r="A52" s="4" t="s">
        <v>103</v>
      </c>
      <c r="B52" s="76">
        <v>0</v>
      </c>
      <c r="C52" s="76">
        <f>B52/9*12</f>
        <v>0</v>
      </c>
      <c r="D52" s="55">
        <v>0</v>
      </c>
      <c r="E52" s="5" t="s">
        <v>103</v>
      </c>
      <c r="F52" s="44">
        <f>'2025 Budget Worksheet Positive'!I53</f>
        <v>0</v>
      </c>
    </row>
    <row r="53" spans="1:6" x14ac:dyDescent="0.25">
      <c r="A53" s="4" t="s">
        <v>104</v>
      </c>
      <c r="B53" s="77">
        <v>0</v>
      </c>
      <c r="C53" s="78">
        <f>B53/9*12</f>
        <v>0</v>
      </c>
      <c r="D53" s="60">
        <v>0</v>
      </c>
      <c r="E53" s="5" t="s">
        <v>104</v>
      </c>
      <c r="F53" s="44">
        <f>'2025 Budget Worksheet Positive'!I54</f>
        <v>0</v>
      </c>
    </row>
    <row r="54" spans="1:6" x14ac:dyDescent="0.25">
      <c r="A54" s="138" t="s">
        <v>105</v>
      </c>
      <c r="B54" s="81">
        <f t="shared" ref="B54:D54" si="10">SUM(B51:B53)</f>
        <v>0</v>
      </c>
      <c r="C54" s="81">
        <f t="shared" si="10"/>
        <v>0</v>
      </c>
      <c r="D54" s="139">
        <f t="shared" si="10"/>
        <v>0</v>
      </c>
      <c r="E54" s="130" t="s">
        <v>105</v>
      </c>
      <c r="F54" s="45">
        <f>'2025 Budget Worksheet Positive'!I55</f>
        <v>0</v>
      </c>
    </row>
    <row r="55" spans="1:6" ht="28.15" customHeight="1" x14ac:dyDescent="0.25">
      <c r="A55" s="134" t="s">
        <v>222</v>
      </c>
      <c r="B55" s="135">
        <f>(((((B14)+(B18))+(B23))+(B31))+(B36))++B40+B44+B49+B54</f>
        <v>33586.01</v>
      </c>
      <c r="C55" s="135">
        <f>(((((C14)+(C18))+(C23))+(C31))+(C36))++C40+C44+C49+C54</f>
        <v>35391.782666666666</v>
      </c>
      <c r="D55" s="136">
        <f>(((((D14)+(D18))+(D23))+(D31))+(D36))+D40+D44+D49+D54</f>
        <v>3446.0200000000004</v>
      </c>
      <c r="E55" s="134" t="s">
        <v>222</v>
      </c>
      <c r="F55" s="137">
        <f>F18+F23+F31+F36+F40+F44+F49+F54</f>
        <v>26643.23</v>
      </c>
    </row>
    <row r="56" spans="1:6" x14ac:dyDescent="0.25">
      <c r="A56" s="3" t="s">
        <v>29</v>
      </c>
      <c r="B56" s="76"/>
      <c r="C56" s="76"/>
      <c r="D56" s="55"/>
      <c r="E56" s="3" t="s">
        <v>29</v>
      </c>
      <c r="F56" s="44"/>
    </row>
    <row r="57" spans="1:6" x14ac:dyDescent="0.25">
      <c r="A57" s="5" t="s">
        <v>75</v>
      </c>
      <c r="B57" s="76"/>
      <c r="C57" s="76">
        <f t="shared" ref="C57:C62" si="11">B57/9*12</f>
        <v>0</v>
      </c>
      <c r="D57" s="55">
        <v>0</v>
      </c>
      <c r="E57" s="5" t="s">
        <v>75</v>
      </c>
      <c r="F57" s="44">
        <f>'2025 Budget Worksheet Positive'!I59</f>
        <v>0</v>
      </c>
    </row>
    <row r="58" spans="1:6" ht="17.25" customHeight="1" x14ac:dyDescent="0.25">
      <c r="A58" s="5" t="s">
        <v>30</v>
      </c>
      <c r="B58" s="76">
        <v>18313</v>
      </c>
      <c r="C58" s="76">
        <f>B58/10*12</f>
        <v>21975.599999999999</v>
      </c>
      <c r="D58" s="55">
        <v>56695.76</v>
      </c>
      <c r="E58" s="5" t="s">
        <v>158</v>
      </c>
      <c r="F58" s="44">
        <f>'2025 Budget Worksheet Positive'!I60</f>
        <v>57500</v>
      </c>
    </row>
    <row r="59" spans="1:6" ht="17.25" customHeight="1" x14ac:dyDescent="0.25">
      <c r="A59" s="120" t="s">
        <v>156</v>
      </c>
      <c r="B59" s="76">
        <v>-1050</v>
      </c>
      <c r="C59" s="76"/>
      <c r="D59" s="55"/>
      <c r="E59" s="5"/>
      <c r="F59" s="44">
        <f>'2025 Budget Worksheet Positive'!I61</f>
        <v>0</v>
      </c>
    </row>
    <row r="60" spans="1:6" ht="17.45" customHeight="1" x14ac:dyDescent="0.25">
      <c r="A60" s="5" t="s">
        <v>106</v>
      </c>
      <c r="B60" s="76">
        <v>925</v>
      </c>
      <c r="C60" s="76">
        <f>B60/10*12</f>
        <v>1110</v>
      </c>
      <c r="D60" s="55">
        <v>4800</v>
      </c>
      <c r="E60" s="5" t="s">
        <v>160</v>
      </c>
      <c r="F60" s="44">
        <f>'2025 Budget Worksheet Positive'!I62</f>
        <v>1000</v>
      </c>
    </row>
    <row r="61" spans="1:6" ht="17.45" customHeight="1" x14ac:dyDescent="0.25">
      <c r="A61" s="5" t="s">
        <v>134</v>
      </c>
      <c r="B61" s="76">
        <v>0</v>
      </c>
      <c r="C61" s="76">
        <f t="shared" si="11"/>
        <v>0</v>
      </c>
      <c r="D61" s="55">
        <v>2300</v>
      </c>
      <c r="E61" s="5" t="s">
        <v>134</v>
      </c>
      <c r="F61" s="44">
        <f>'2025 Budget Worksheet Positive'!I63</f>
        <v>0</v>
      </c>
    </row>
    <row r="62" spans="1:6" ht="17.45" customHeight="1" x14ac:dyDescent="0.25">
      <c r="A62" s="5" t="s">
        <v>135</v>
      </c>
      <c r="B62" s="76">
        <v>0</v>
      </c>
      <c r="C62" s="76">
        <f t="shared" si="11"/>
        <v>0</v>
      </c>
      <c r="D62" s="55">
        <v>-575</v>
      </c>
      <c r="E62" s="5" t="s">
        <v>135</v>
      </c>
      <c r="F62" s="44">
        <f>'2025 Budget Worksheet Positive'!I64</f>
        <v>0</v>
      </c>
    </row>
    <row r="63" spans="1:6" x14ac:dyDescent="0.25">
      <c r="A63" s="51" t="s">
        <v>80</v>
      </c>
      <c r="B63" s="77">
        <v>7764.6</v>
      </c>
      <c r="C63" s="78">
        <f>B63/10*12</f>
        <v>9317.52</v>
      </c>
      <c r="D63" s="60">
        <v>9317.52</v>
      </c>
      <c r="E63" s="142" t="s">
        <v>80</v>
      </c>
      <c r="F63" s="44">
        <f>'2025 Budget Worksheet Positive'!I65</f>
        <v>9317.52</v>
      </c>
    </row>
    <row r="64" spans="1:6" ht="28.9" customHeight="1" x14ac:dyDescent="0.25">
      <c r="A64" s="131" t="s">
        <v>31</v>
      </c>
      <c r="B64" s="132">
        <f>SUM(B57:B63)</f>
        <v>25952.6</v>
      </c>
      <c r="C64" s="132">
        <f t="shared" ref="C64:D64" si="12">SUM(C57:C63)</f>
        <v>32403.119999999999</v>
      </c>
      <c r="D64" s="133">
        <f t="shared" si="12"/>
        <v>72538.28</v>
      </c>
      <c r="E64" s="131" t="s">
        <v>31</v>
      </c>
      <c r="F64" s="129">
        <f>SUM(F57:F63)</f>
        <v>67817.52</v>
      </c>
    </row>
    <row r="65" spans="1:6" x14ac:dyDescent="0.25">
      <c r="A65" s="3" t="s">
        <v>32</v>
      </c>
      <c r="B65" s="76"/>
      <c r="C65" s="76"/>
      <c r="D65" s="55"/>
      <c r="E65" s="3" t="s">
        <v>32</v>
      </c>
      <c r="F65" s="44"/>
    </row>
    <row r="66" spans="1:6" x14ac:dyDescent="0.25">
      <c r="A66" s="5" t="s">
        <v>33</v>
      </c>
      <c r="B66" s="76"/>
      <c r="C66" s="76">
        <f>B66/9*12</f>
        <v>0</v>
      </c>
      <c r="D66" s="56">
        <v>7300</v>
      </c>
      <c r="E66" s="5" t="s">
        <v>33</v>
      </c>
      <c r="F66" s="25">
        <f>'2025 Budget Worksheet Positive'!I68</f>
        <v>7500</v>
      </c>
    </row>
    <row r="67" spans="1:6" ht="14.45" customHeight="1" x14ac:dyDescent="0.25">
      <c r="A67" s="5" t="s">
        <v>34</v>
      </c>
      <c r="B67" s="76"/>
      <c r="C67" s="76">
        <f>B67/9*12</f>
        <v>0</v>
      </c>
      <c r="D67" s="59">
        <v>-750</v>
      </c>
      <c r="E67" s="5" t="s">
        <v>34</v>
      </c>
      <c r="F67" s="25">
        <f>'2025 Budget Worksheet Positive'!I69</f>
        <v>0</v>
      </c>
    </row>
    <row r="68" spans="1:6" ht="14.45" customHeight="1" x14ac:dyDescent="0.25">
      <c r="A68" s="5" t="s">
        <v>136</v>
      </c>
      <c r="B68" s="76">
        <v>100</v>
      </c>
      <c r="C68" s="76">
        <f>B68</f>
        <v>100</v>
      </c>
      <c r="D68" s="64">
        <v>5250</v>
      </c>
      <c r="E68" s="5" t="s">
        <v>136</v>
      </c>
      <c r="F68" s="25">
        <f>'2025 Budget Worksheet Positive'!I70</f>
        <v>0</v>
      </c>
    </row>
    <row r="69" spans="1:6" ht="14.45" customHeight="1" x14ac:dyDescent="0.25">
      <c r="A69" s="51" t="s">
        <v>137</v>
      </c>
      <c r="B69" s="77"/>
      <c r="C69" s="78">
        <f>B69/9*12</f>
        <v>0</v>
      </c>
      <c r="D69" s="58">
        <v>-525</v>
      </c>
      <c r="E69" s="130" t="s">
        <v>137</v>
      </c>
      <c r="F69" s="25">
        <f>'2025 Budget Worksheet Positive'!I71</f>
        <v>0</v>
      </c>
    </row>
    <row r="70" spans="1:6" ht="29.45" customHeight="1" x14ac:dyDescent="0.25">
      <c r="A70" s="134" t="s">
        <v>35</v>
      </c>
      <c r="B70" s="143">
        <f>SUM(B66:B69)</f>
        <v>100</v>
      </c>
      <c r="C70" s="143">
        <f>SUM(C66:C69)</f>
        <v>100</v>
      </c>
      <c r="D70" s="144">
        <f>SUM(D66:D69)</f>
        <v>11275</v>
      </c>
      <c r="E70" s="134" t="s">
        <v>35</v>
      </c>
      <c r="F70" s="144">
        <f>SUM(F66:F69)</f>
        <v>7500</v>
      </c>
    </row>
    <row r="71" spans="1:6" x14ac:dyDescent="0.25">
      <c r="A71" s="3" t="s">
        <v>36</v>
      </c>
      <c r="B71" s="76"/>
      <c r="C71" s="76"/>
      <c r="D71" s="55"/>
      <c r="E71" s="3" t="s">
        <v>36</v>
      </c>
      <c r="F71" s="44"/>
    </row>
    <row r="72" spans="1:6" x14ac:dyDescent="0.25">
      <c r="A72" s="5" t="s">
        <v>37</v>
      </c>
      <c r="B72" s="76">
        <v>1575</v>
      </c>
      <c r="C72" s="76">
        <f>B72/10*12</f>
        <v>1890</v>
      </c>
      <c r="D72" s="55">
        <v>0</v>
      </c>
      <c r="E72" s="5" t="s">
        <v>37</v>
      </c>
      <c r="F72" s="44">
        <f>'2025 Budget Worksheet Positive'!I75</f>
        <v>2000</v>
      </c>
    </row>
    <row r="73" spans="1:6" x14ac:dyDescent="0.25">
      <c r="A73" s="5" t="s">
        <v>38</v>
      </c>
      <c r="B73" s="76">
        <v>975</v>
      </c>
      <c r="C73" s="76">
        <f>B73/10*12</f>
        <v>1170</v>
      </c>
      <c r="D73" s="55">
        <v>0</v>
      </c>
      <c r="E73" s="5" t="s">
        <v>38</v>
      </c>
      <c r="F73" s="44">
        <f>'2025 Budget Worksheet Positive'!I76</f>
        <v>1000</v>
      </c>
    </row>
    <row r="74" spans="1:6" x14ac:dyDescent="0.25">
      <c r="A74" s="5" t="s">
        <v>39</v>
      </c>
      <c r="B74" s="77">
        <v>-1005.62</v>
      </c>
      <c r="C74" s="78">
        <f>B74/10*12</f>
        <v>-1206.7439999999999</v>
      </c>
      <c r="D74" s="60">
        <v>0</v>
      </c>
      <c r="E74" s="130" t="s">
        <v>39</v>
      </c>
      <c r="F74" s="45">
        <f>'2025 Budget Worksheet Positive'!I77</f>
        <v>-1200</v>
      </c>
    </row>
    <row r="75" spans="1:6" x14ac:dyDescent="0.25">
      <c r="A75" s="6" t="s">
        <v>40</v>
      </c>
      <c r="B75" s="87">
        <f t="shared" ref="B75:C75" si="13">SUM(B72:B74)</f>
        <v>1544.38</v>
      </c>
      <c r="C75" s="87">
        <f t="shared" si="13"/>
        <v>1853.2560000000001</v>
      </c>
      <c r="D75" s="65">
        <f>SUM(D72:D74)</f>
        <v>0</v>
      </c>
      <c r="E75" s="109" t="s">
        <v>40</v>
      </c>
      <c r="F75" s="114">
        <f>SUM(F72:F74)</f>
        <v>1800</v>
      </c>
    </row>
    <row r="76" spans="1:6" x14ac:dyDescent="0.25">
      <c r="A76" s="3"/>
      <c r="B76" s="76"/>
      <c r="C76" s="76"/>
      <c r="D76" s="55"/>
      <c r="E76" s="3"/>
      <c r="F76" s="44"/>
    </row>
    <row r="77" spans="1:6" x14ac:dyDescent="0.25">
      <c r="A77" s="5" t="s">
        <v>41</v>
      </c>
      <c r="B77" s="76">
        <v>5275</v>
      </c>
      <c r="C77" s="76">
        <f>B77/10*12</f>
        <v>6330</v>
      </c>
      <c r="D77" s="55">
        <v>7000</v>
      </c>
      <c r="E77" s="5" t="s">
        <v>41</v>
      </c>
      <c r="F77" s="44">
        <f>'2025 Budget Worksheet Positive'!I80</f>
        <v>8200</v>
      </c>
    </row>
    <row r="78" spans="1:6" x14ac:dyDescent="0.25">
      <c r="A78" s="5" t="s">
        <v>42</v>
      </c>
      <c r="B78" s="76">
        <v>10050</v>
      </c>
      <c r="C78" s="76">
        <f>B78/10*12</f>
        <v>12060</v>
      </c>
      <c r="D78" s="55">
        <v>13500</v>
      </c>
      <c r="E78" s="5" t="s">
        <v>42</v>
      </c>
      <c r="F78" s="44">
        <f>'2025 Budget Worksheet Positive'!I81</f>
        <v>12150</v>
      </c>
    </row>
    <row r="79" spans="1:6" x14ac:dyDescent="0.25">
      <c r="A79" s="5" t="s">
        <v>43</v>
      </c>
      <c r="B79" s="77">
        <v>-8984.32</v>
      </c>
      <c r="C79" s="78">
        <f>B79/10*12</f>
        <v>-10781.184000000001</v>
      </c>
      <c r="D79" s="60">
        <v>-10600</v>
      </c>
      <c r="E79" s="130" t="s">
        <v>43</v>
      </c>
      <c r="F79" s="45">
        <f>'2025 Budget Worksheet Positive'!I82</f>
        <v>-15000</v>
      </c>
    </row>
    <row r="80" spans="1:6" x14ac:dyDescent="0.25">
      <c r="A80" s="6" t="s">
        <v>44</v>
      </c>
      <c r="B80" s="82">
        <f t="shared" ref="B80:C80" si="14">SUM(B77:B79)</f>
        <v>6340.68</v>
      </c>
      <c r="C80" s="82">
        <f t="shared" si="14"/>
        <v>7608.8159999999989</v>
      </c>
      <c r="D80" s="52">
        <f>SUM(D77:D79)</f>
        <v>9900</v>
      </c>
      <c r="E80" s="109" t="s">
        <v>44</v>
      </c>
      <c r="F80" s="110">
        <f>SUM(F77:F79)</f>
        <v>5350</v>
      </c>
    </row>
    <row r="81" spans="1:6" x14ac:dyDescent="0.25">
      <c r="A81" s="3"/>
      <c r="B81" s="76"/>
      <c r="C81" s="76"/>
      <c r="D81" s="55"/>
      <c r="E81" s="3"/>
      <c r="F81" s="44"/>
    </row>
    <row r="82" spans="1:6" x14ac:dyDescent="0.25">
      <c r="A82" s="5" t="s">
        <v>71</v>
      </c>
      <c r="B82" s="76"/>
      <c r="C82" s="76"/>
      <c r="D82" s="56">
        <v>0</v>
      </c>
      <c r="E82" s="5" t="s">
        <v>71</v>
      </c>
      <c r="F82" s="25">
        <f>'2025 Budget Worksheet Positive'!I85</f>
        <v>1000</v>
      </c>
    </row>
    <row r="83" spans="1:6" ht="15" customHeight="1" x14ac:dyDescent="0.25">
      <c r="A83" s="5" t="s">
        <v>45</v>
      </c>
      <c r="B83" s="76">
        <v>3775</v>
      </c>
      <c r="C83" s="76">
        <f>B83/10*12</f>
        <v>4530</v>
      </c>
      <c r="D83" s="56">
        <v>1000</v>
      </c>
      <c r="E83" s="5" t="s">
        <v>45</v>
      </c>
      <c r="F83" s="25">
        <f>'2025 Budget Worksheet Positive'!I86</f>
        <v>4500</v>
      </c>
    </row>
    <row r="84" spans="1:6" x14ac:dyDescent="0.25">
      <c r="A84" s="5" t="s">
        <v>46</v>
      </c>
      <c r="B84" s="77">
        <v>-3920.08</v>
      </c>
      <c r="C84" s="78">
        <f>B84/9*12</f>
        <v>-5226.7733333333335</v>
      </c>
      <c r="D84" s="58">
        <v>-150</v>
      </c>
      <c r="E84" s="130" t="s">
        <v>46</v>
      </c>
      <c r="F84" s="45">
        <f>'2025 Budget Worksheet Positive'!I87</f>
        <v>-4500</v>
      </c>
    </row>
    <row r="85" spans="1:6" x14ac:dyDescent="0.25">
      <c r="A85" s="6" t="s">
        <v>47</v>
      </c>
      <c r="B85" s="83">
        <f t="shared" ref="B85:D85" si="15">SUM(B83:B84)</f>
        <v>-145.07999999999993</v>
      </c>
      <c r="C85" s="83">
        <f t="shared" si="15"/>
        <v>-696.77333333333354</v>
      </c>
      <c r="D85" s="52">
        <f t="shared" si="15"/>
        <v>850</v>
      </c>
      <c r="E85" s="109" t="s">
        <v>47</v>
      </c>
      <c r="F85" s="110">
        <f>SUM(F82:F84)</f>
        <v>1000</v>
      </c>
    </row>
    <row r="86" spans="1:6" x14ac:dyDescent="0.25">
      <c r="A86" s="3"/>
      <c r="B86" s="76"/>
      <c r="C86" s="76"/>
      <c r="D86" s="55"/>
      <c r="E86" s="3"/>
      <c r="F86" s="44"/>
    </row>
    <row r="87" spans="1:6" ht="13.35" customHeight="1" x14ac:dyDescent="0.25">
      <c r="A87" s="5" t="s">
        <v>48</v>
      </c>
      <c r="B87" s="76">
        <v>0</v>
      </c>
      <c r="C87" s="76">
        <f>B87/9*12</f>
        <v>0</v>
      </c>
      <c r="D87" s="55"/>
      <c r="E87" s="5" t="s">
        <v>48</v>
      </c>
      <c r="F87" s="44">
        <f>'2025 Budget Worksheet Positive'!I90</f>
        <v>0</v>
      </c>
    </row>
    <row r="88" spans="1:6" x14ac:dyDescent="0.25">
      <c r="A88" s="5" t="s">
        <v>49</v>
      </c>
      <c r="B88" s="77">
        <v>0</v>
      </c>
      <c r="C88" s="78">
        <f>B88/9*12</f>
        <v>0</v>
      </c>
      <c r="D88" s="60"/>
      <c r="E88" s="130" t="s">
        <v>49</v>
      </c>
      <c r="F88" s="45">
        <f>'2025 Budget Worksheet Positive'!I91</f>
        <v>0</v>
      </c>
    </row>
    <row r="89" spans="1:6" x14ac:dyDescent="0.25">
      <c r="A89" s="6" t="s">
        <v>50</v>
      </c>
      <c r="B89" s="80">
        <f>SUM(B87:B88)</f>
        <v>0</v>
      </c>
      <c r="C89" s="80">
        <f>SUM(C87:C88)</f>
        <v>0</v>
      </c>
      <c r="D89" s="62">
        <f>SUM(D87:D88)</f>
        <v>0</v>
      </c>
      <c r="E89" s="115" t="s">
        <v>50</v>
      </c>
      <c r="F89" s="113">
        <f>SUM(F87:F88)</f>
        <v>0</v>
      </c>
    </row>
    <row r="90" spans="1:6" x14ac:dyDescent="0.25">
      <c r="A90" s="6"/>
      <c r="B90" s="76"/>
      <c r="C90" s="76"/>
      <c r="D90" s="55"/>
      <c r="E90" s="6"/>
      <c r="F90" s="44"/>
    </row>
    <row r="91" spans="1:6" x14ac:dyDescent="0.25">
      <c r="A91" s="5" t="s">
        <v>72</v>
      </c>
      <c r="B91" s="76">
        <v>0</v>
      </c>
      <c r="C91" s="76">
        <v>0</v>
      </c>
      <c r="D91" s="55"/>
      <c r="E91" s="5" t="s">
        <v>72</v>
      </c>
      <c r="F91" s="44">
        <f>'2025 Budget Worksheet Positive'!I94</f>
        <v>0</v>
      </c>
    </row>
    <row r="92" spans="1:6" ht="15" customHeight="1" x14ac:dyDescent="0.25">
      <c r="A92" s="5" t="s">
        <v>73</v>
      </c>
      <c r="B92" s="76">
        <v>0</v>
      </c>
      <c r="C92" s="76">
        <v>0</v>
      </c>
      <c r="D92" s="55"/>
      <c r="E92" s="5" t="s">
        <v>73</v>
      </c>
      <c r="F92" s="44">
        <f>'2025 Budget Worksheet Positive'!I95</f>
        <v>0</v>
      </c>
    </row>
    <row r="93" spans="1:6" x14ac:dyDescent="0.25">
      <c r="A93" s="5" t="s">
        <v>74</v>
      </c>
      <c r="B93" s="77">
        <v>0</v>
      </c>
      <c r="C93" s="78">
        <v>0</v>
      </c>
      <c r="D93" s="60"/>
      <c r="E93" s="130" t="s">
        <v>74</v>
      </c>
      <c r="F93" s="45">
        <f>'2025 Budget Worksheet Positive'!I96</f>
        <v>0</v>
      </c>
    </row>
    <row r="94" spans="1:6" x14ac:dyDescent="0.25">
      <c r="A94" s="138" t="s">
        <v>76</v>
      </c>
      <c r="B94" s="84">
        <f>SUM(B91:B93)</f>
        <v>0</v>
      </c>
      <c r="C94" s="84">
        <f>SUM(C91:C93)</f>
        <v>0</v>
      </c>
      <c r="D94" s="66">
        <f>SUM(D91:D93)</f>
        <v>0</v>
      </c>
      <c r="E94" s="146" t="s">
        <v>76</v>
      </c>
      <c r="F94" s="110">
        <f>'2025 Budget Worksheet Positive'!I97</f>
        <v>0</v>
      </c>
    </row>
    <row r="95" spans="1:6" ht="28.9" customHeight="1" x14ac:dyDescent="0.25">
      <c r="A95" s="148" t="s">
        <v>223</v>
      </c>
      <c r="B95" s="149">
        <f t="shared" ref="B95:D95" si="16">((((B71)+(B75))+(B80))+(B85))+(B89)+B94</f>
        <v>7739.9800000000005</v>
      </c>
      <c r="C95" s="149">
        <f t="shared" si="16"/>
        <v>8765.2986666666657</v>
      </c>
      <c r="D95" s="150">
        <f t="shared" si="16"/>
        <v>10750</v>
      </c>
      <c r="E95" s="151" t="s">
        <v>224</v>
      </c>
      <c r="F95" s="152">
        <f>F94+F89+F85+F80+F75</f>
        <v>8150</v>
      </c>
    </row>
    <row r="96" spans="1:6" ht="15.75" thickBot="1" x14ac:dyDescent="0.3">
      <c r="A96" s="3"/>
      <c r="B96" s="11"/>
      <c r="C96" s="11"/>
      <c r="D96" s="55"/>
      <c r="E96" s="3"/>
      <c r="F96" s="44"/>
    </row>
    <row r="97" spans="1:7" ht="28.9" customHeight="1" thickBot="1" x14ac:dyDescent="0.3">
      <c r="A97" s="160" t="s">
        <v>2</v>
      </c>
      <c r="B97" s="153">
        <f>((((B13)+(B55))+(B64))+(B70))+(B95)</f>
        <v>153494.59000000003</v>
      </c>
      <c r="C97" s="153">
        <f>((((C13)+(C55))+(C64))+(C70))+(C95)</f>
        <v>179999.40133333334</v>
      </c>
      <c r="D97" s="154">
        <f>((((D13)+(D55))+(D64))+(D70))+(D95)</f>
        <v>256764.55</v>
      </c>
      <c r="E97" s="161" t="s">
        <v>2</v>
      </c>
      <c r="F97" s="155">
        <f>F13+F55+F95+F70+F64</f>
        <v>230275.35800000001</v>
      </c>
    </row>
    <row r="98" spans="1:7" x14ac:dyDescent="0.25">
      <c r="A98" s="3"/>
      <c r="B98" s="11"/>
      <c r="C98" s="11"/>
      <c r="D98" s="55"/>
      <c r="E98" s="3"/>
      <c r="F98" s="44"/>
    </row>
    <row r="99" spans="1:7" ht="18" x14ac:dyDescent="0.25">
      <c r="A99" s="156" t="s">
        <v>4</v>
      </c>
      <c r="B99" s="84"/>
      <c r="C99" s="84"/>
      <c r="D99" s="157"/>
      <c r="E99" s="158" t="s">
        <v>4</v>
      </c>
      <c r="F99" s="159"/>
    </row>
    <row r="100" spans="1:7" x14ac:dyDescent="0.25">
      <c r="A100" s="3"/>
      <c r="B100" s="76"/>
      <c r="C100" s="76"/>
      <c r="D100" s="55"/>
      <c r="E100" s="3"/>
      <c r="F100" s="44"/>
    </row>
    <row r="101" spans="1:7" x14ac:dyDescent="0.25">
      <c r="A101" s="5" t="s">
        <v>51</v>
      </c>
      <c r="B101" s="76">
        <v>236</v>
      </c>
      <c r="C101" s="76">
        <f>B101/10*12</f>
        <v>283.20000000000005</v>
      </c>
      <c r="D101" s="55">
        <v>4200</v>
      </c>
      <c r="E101" s="5" t="s">
        <v>51</v>
      </c>
      <c r="F101" s="44">
        <f>'2025 Budget Worksheet Positive'!I104</f>
        <v>283.20000000000005</v>
      </c>
    </row>
    <row r="102" spans="1:7" x14ac:dyDescent="0.25">
      <c r="A102" s="5" t="s">
        <v>52</v>
      </c>
      <c r="B102" s="76">
        <v>11750</v>
      </c>
      <c r="C102" s="76">
        <f t="shared" ref="C102:C118" si="17">B102/10*12</f>
        <v>14100</v>
      </c>
      <c r="D102" s="55">
        <v>14400</v>
      </c>
      <c r="E102" s="5" t="s">
        <v>52</v>
      </c>
      <c r="F102" s="44">
        <f>'2025 Budget Worksheet Positive'!I105</f>
        <v>14100</v>
      </c>
    </row>
    <row r="103" spans="1:7" x14ac:dyDescent="0.25">
      <c r="A103" s="5" t="s">
        <v>81</v>
      </c>
      <c r="B103" s="76">
        <v>0</v>
      </c>
      <c r="C103" s="76">
        <f t="shared" si="17"/>
        <v>0</v>
      </c>
      <c r="D103" s="55">
        <v>0</v>
      </c>
      <c r="E103" s="5" t="s">
        <v>81</v>
      </c>
      <c r="F103" s="44">
        <f>'2025 Budget Worksheet Positive'!I106</f>
        <v>0</v>
      </c>
    </row>
    <row r="104" spans="1:7" x14ac:dyDescent="0.25">
      <c r="A104" s="5" t="s">
        <v>53</v>
      </c>
      <c r="B104" s="76">
        <v>450</v>
      </c>
      <c r="C104" s="76">
        <f t="shared" si="17"/>
        <v>540</v>
      </c>
      <c r="D104" s="55">
        <v>0</v>
      </c>
      <c r="E104" s="5" t="s">
        <v>53</v>
      </c>
      <c r="F104" s="44">
        <f>'2025 Budget Worksheet Positive'!I107</f>
        <v>540</v>
      </c>
    </row>
    <row r="105" spans="1:7" ht="17.100000000000001" customHeight="1" x14ac:dyDescent="0.25">
      <c r="A105" s="5" t="s">
        <v>54</v>
      </c>
      <c r="B105" s="76">
        <v>2890.99</v>
      </c>
      <c r="C105" s="76">
        <f t="shared" si="17"/>
        <v>3469.1880000000001</v>
      </c>
      <c r="D105" s="55">
        <v>4433</v>
      </c>
      <c r="E105" s="5" t="s">
        <v>54</v>
      </c>
      <c r="F105" s="44">
        <f>'2025 Budget Worksheet Positive'!I108</f>
        <v>4163.0255999999999</v>
      </c>
      <c r="G105" s="89"/>
    </row>
    <row r="106" spans="1:7" x14ac:dyDescent="0.25">
      <c r="A106" s="5" t="s">
        <v>55</v>
      </c>
      <c r="B106" s="76">
        <v>3162.92</v>
      </c>
      <c r="C106" s="76">
        <f t="shared" si="17"/>
        <v>3795.5040000000004</v>
      </c>
      <c r="D106" s="55">
        <v>3000</v>
      </c>
      <c r="E106" s="5" t="s">
        <v>55</v>
      </c>
      <c r="F106" s="44">
        <f>'2025 Budget Worksheet Positive'!I109</f>
        <v>2500</v>
      </c>
    </row>
    <row r="107" spans="1:7" x14ac:dyDescent="0.25">
      <c r="A107" s="5" t="s">
        <v>56</v>
      </c>
      <c r="B107" s="76">
        <v>1472.76</v>
      </c>
      <c r="C107" s="76">
        <f t="shared" si="17"/>
        <v>1767.3120000000001</v>
      </c>
      <c r="D107" s="55">
        <v>2000</v>
      </c>
      <c r="E107" s="5" t="s">
        <v>56</v>
      </c>
      <c r="F107" s="44">
        <f>'2025 Budget Worksheet Positive'!I110</f>
        <v>1767.3120000000001</v>
      </c>
    </row>
    <row r="108" spans="1:7" x14ac:dyDescent="0.25">
      <c r="A108" s="5" t="s">
        <v>129</v>
      </c>
      <c r="B108" s="76">
        <v>504.2</v>
      </c>
      <c r="C108" s="76">
        <f t="shared" si="17"/>
        <v>605.04</v>
      </c>
      <c r="D108" s="55"/>
      <c r="E108" s="5"/>
      <c r="F108" s="44">
        <f>'2025 Budget Worksheet Positive'!I111</f>
        <v>605.04</v>
      </c>
    </row>
    <row r="109" spans="1:7" x14ac:dyDescent="0.25">
      <c r="A109" s="5" t="s">
        <v>57</v>
      </c>
      <c r="B109" s="76">
        <v>283.18</v>
      </c>
      <c r="C109" s="76">
        <f t="shared" si="17"/>
        <v>339.81600000000003</v>
      </c>
      <c r="D109" s="55">
        <v>600</v>
      </c>
      <c r="E109" s="5" t="s">
        <v>57</v>
      </c>
      <c r="F109" s="44">
        <f>'2025 Budget Worksheet Positive'!I112</f>
        <v>339.81600000000003</v>
      </c>
    </row>
    <row r="110" spans="1:7" x14ac:dyDescent="0.25">
      <c r="A110" s="5" t="s">
        <v>58</v>
      </c>
      <c r="B110" s="76">
        <v>964.34</v>
      </c>
      <c r="C110" s="76">
        <f t="shared" si="17"/>
        <v>1157.2080000000001</v>
      </c>
      <c r="D110" s="55">
        <v>2100</v>
      </c>
      <c r="E110" s="5" t="s">
        <v>58</v>
      </c>
      <c r="F110" s="44">
        <f>'2025 Budget Worksheet Positive'!I113</f>
        <v>1157.2080000000001</v>
      </c>
    </row>
    <row r="111" spans="1:7" x14ac:dyDescent="0.25">
      <c r="A111" s="5" t="s">
        <v>83</v>
      </c>
      <c r="B111" s="76">
        <v>54.64</v>
      </c>
      <c r="C111" s="76">
        <f t="shared" si="17"/>
        <v>65.568000000000012</v>
      </c>
      <c r="D111" s="55">
        <v>0</v>
      </c>
      <c r="E111" s="5" t="s">
        <v>83</v>
      </c>
      <c r="F111" s="44">
        <f>'2025 Budget Worksheet Positive'!I114</f>
        <v>65.568000000000012</v>
      </c>
    </row>
    <row r="112" spans="1:7" x14ac:dyDescent="0.25">
      <c r="A112" s="5" t="s">
        <v>59</v>
      </c>
      <c r="B112" s="76">
        <v>709.13</v>
      </c>
      <c r="C112" s="76">
        <f t="shared" si="17"/>
        <v>850.9559999999999</v>
      </c>
      <c r="D112" s="55">
        <v>3535.43</v>
      </c>
      <c r="E112" s="5" t="s">
        <v>59</v>
      </c>
      <c r="F112" s="44">
        <f>'2025 Budget Worksheet Positive'!I115</f>
        <v>850.9559999999999</v>
      </c>
    </row>
    <row r="113" spans="1:9" x14ac:dyDescent="0.25">
      <c r="A113" s="5" t="s">
        <v>60</v>
      </c>
      <c r="B113" s="76">
        <v>1184.51</v>
      </c>
      <c r="C113" s="76">
        <f t="shared" si="17"/>
        <v>1421.4119999999998</v>
      </c>
      <c r="D113" s="55">
        <v>1219.75</v>
      </c>
      <c r="E113" s="5" t="s">
        <v>60</v>
      </c>
      <c r="F113" s="44">
        <f>'2025 Budget Worksheet Positive'!I116</f>
        <v>1400</v>
      </c>
    </row>
    <row r="114" spans="1:9" x14ac:dyDescent="0.25">
      <c r="A114" s="5" t="s">
        <v>61</v>
      </c>
      <c r="B114" s="76">
        <v>7317.56</v>
      </c>
      <c r="C114" s="76">
        <f t="shared" si="17"/>
        <v>8781.0720000000001</v>
      </c>
      <c r="D114" s="55">
        <v>11365.2</v>
      </c>
      <c r="E114" s="5" t="s">
        <v>61</v>
      </c>
      <c r="F114" s="44">
        <f>'2025 Budget Worksheet Positive'!I117</f>
        <v>13127.99388</v>
      </c>
    </row>
    <row r="115" spans="1:9" x14ac:dyDescent="0.25">
      <c r="A115" s="5" t="s">
        <v>62</v>
      </c>
      <c r="B115" s="76">
        <v>1076.24</v>
      </c>
      <c r="C115" s="76">
        <f t="shared" si="17"/>
        <v>1291.4879999999998</v>
      </c>
      <c r="D115" s="55">
        <v>1302.67</v>
      </c>
      <c r="E115" s="5" t="s">
        <v>62</v>
      </c>
      <c r="F115" s="44">
        <f>'2025 Budget Worksheet Positive'!I118</f>
        <v>1291.4879999999998</v>
      </c>
    </row>
    <row r="116" spans="1:9" x14ac:dyDescent="0.25">
      <c r="A116" s="5" t="s">
        <v>82</v>
      </c>
      <c r="B116" s="76">
        <v>7764.6</v>
      </c>
      <c r="C116" s="76">
        <f t="shared" si="17"/>
        <v>9317.52</v>
      </c>
      <c r="D116" s="55">
        <v>9317.52</v>
      </c>
      <c r="E116" s="5" t="s">
        <v>82</v>
      </c>
      <c r="F116" s="44">
        <f>'2025 Budget Worksheet Positive'!I119</f>
        <v>9317.52</v>
      </c>
    </row>
    <row r="117" spans="1:9" x14ac:dyDescent="0.25">
      <c r="A117" s="5" t="s">
        <v>122</v>
      </c>
      <c r="B117" s="76">
        <v>0</v>
      </c>
      <c r="C117" s="76">
        <f t="shared" si="17"/>
        <v>0</v>
      </c>
      <c r="D117" s="55">
        <v>433.65</v>
      </c>
      <c r="E117" s="5"/>
      <c r="F117" s="44">
        <f>'2025 Budget Worksheet Positive'!I120</f>
        <v>0</v>
      </c>
    </row>
    <row r="118" spans="1:9" ht="15.6" customHeight="1" x14ac:dyDescent="0.25">
      <c r="A118" s="5" t="s">
        <v>63</v>
      </c>
      <c r="B118" s="76">
        <v>1610</v>
      </c>
      <c r="C118" s="76">
        <f t="shared" si="17"/>
        <v>1932</v>
      </c>
      <c r="D118" s="55">
        <v>2530</v>
      </c>
      <c r="E118" s="5" t="s">
        <v>63</v>
      </c>
      <c r="F118" s="44">
        <f>'2025 Budget Worksheet Positive'!I121</f>
        <v>4260</v>
      </c>
      <c r="I118" s="2"/>
    </row>
    <row r="119" spans="1:9" x14ac:dyDescent="0.25">
      <c r="A119" s="5" t="s">
        <v>64</v>
      </c>
      <c r="B119" s="76"/>
      <c r="C119" s="76"/>
      <c r="D119" s="55"/>
      <c r="E119" s="5" t="s">
        <v>64</v>
      </c>
      <c r="F119" s="44">
        <f>'2025 Budget Worksheet Positive'!I122</f>
        <v>0</v>
      </c>
      <c r="I119" s="2"/>
    </row>
    <row r="120" spans="1:9" x14ac:dyDescent="0.25">
      <c r="A120" s="23" t="s">
        <v>87</v>
      </c>
      <c r="B120" s="76">
        <v>10078.25</v>
      </c>
      <c r="C120" s="76">
        <f>B120/10*12</f>
        <v>12093.900000000001</v>
      </c>
      <c r="D120" s="55">
        <v>12000</v>
      </c>
      <c r="E120" s="23" t="s">
        <v>87</v>
      </c>
      <c r="F120" s="44">
        <f>'2025 Budget Worksheet Positive'!I123</f>
        <v>12093.900000000001</v>
      </c>
      <c r="I120" s="2"/>
    </row>
    <row r="121" spans="1:9" x14ac:dyDescent="0.25">
      <c r="A121" s="23" t="s">
        <v>88</v>
      </c>
      <c r="B121" s="76">
        <v>2543.16</v>
      </c>
      <c r="C121" s="76">
        <f t="shared" ref="C121:C128" si="18">B121/10*12</f>
        <v>3051.7919999999995</v>
      </c>
      <c r="D121" s="55">
        <v>3000</v>
      </c>
      <c r="E121" s="23" t="s">
        <v>88</v>
      </c>
      <c r="F121" s="44">
        <f>'2025 Budget Worksheet Positive'!I124</f>
        <v>3051.7919999999995</v>
      </c>
    </row>
    <row r="122" spans="1:9" x14ac:dyDescent="0.25">
      <c r="A122" s="23" t="s">
        <v>89</v>
      </c>
      <c r="B122" s="76">
        <v>2870.79</v>
      </c>
      <c r="C122" s="76">
        <f t="shared" si="18"/>
        <v>3444.9480000000003</v>
      </c>
      <c r="D122" s="55">
        <v>3600</v>
      </c>
      <c r="E122" s="23" t="s">
        <v>89</v>
      </c>
      <c r="F122" s="44">
        <f>'2025 Budget Worksheet Positive'!I125</f>
        <v>3444.9480000000003</v>
      </c>
    </row>
    <row r="123" spans="1:9" x14ac:dyDescent="0.25">
      <c r="A123" s="23" t="s">
        <v>90</v>
      </c>
      <c r="B123" s="76">
        <v>425</v>
      </c>
      <c r="C123" s="76">
        <f t="shared" si="18"/>
        <v>510</v>
      </c>
      <c r="D123" s="55">
        <v>1200</v>
      </c>
      <c r="E123" s="23" t="s">
        <v>90</v>
      </c>
      <c r="F123" s="44">
        <f>'2025 Budget Worksheet Positive'!I126</f>
        <v>510</v>
      </c>
    </row>
    <row r="124" spans="1:9" x14ac:dyDescent="0.25">
      <c r="A124" s="5" t="s">
        <v>65</v>
      </c>
      <c r="B124" s="76">
        <v>1083.5999999999999</v>
      </c>
      <c r="C124" s="76">
        <f t="shared" si="18"/>
        <v>1300.3199999999997</v>
      </c>
      <c r="D124" s="55">
        <v>900</v>
      </c>
      <c r="E124" s="5" t="s">
        <v>65</v>
      </c>
      <c r="F124" s="44">
        <f>'2025 Budget Worksheet Positive'!I127</f>
        <v>1300.3199999999997</v>
      </c>
      <c r="H124" s="2"/>
    </row>
    <row r="125" spans="1:9" x14ac:dyDescent="0.25">
      <c r="A125" s="5" t="s">
        <v>96</v>
      </c>
      <c r="B125" s="76">
        <v>17440</v>
      </c>
      <c r="C125" s="76">
        <f t="shared" si="18"/>
        <v>20928</v>
      </c>
      <c r="D125" s="55">
        <v>15600</v>
      </c>
      <c r="E125" s="5" t="s">
        <v>84</v>
      </c>
      <c r="F125" s="44">
        <f>'2025 Budget Worksheet Positive'!I128</f>
        <v>60000</v>
      </c>
    </row>
    <row r="126" spans="1:9" x14ac:dyDescent="0.25">
      <c r="A126" s="5" t="s">
        <v>107</v>
      </c>
      <c r="B126" s="76">
        <v>76666.600000000006</v>
      </c>
      <c r="C126" s="76">
        <f t="shared" si="18"/>
        <v>91999.920000000013</v>
      </c>
      <c r="D126" s="55">
        <v>91999.92</v>
      </c>
      <c r="E126" s="5" t="s">
        <v>107</v>
      </c>
      <c r="F126" s="44">
        <f>'2025 Budget Worksheet Positive'!I129</f>
        <v>91999.920000000013</v>
      </c>
    </row>
    <row r="127" spans="1:9" x14ac:dyDescent="0.25">
      <c r="A127" s="5" t="s">
        <v>138</v>
      </c>
      <c r="B127" s="76">
        <v>0</v>
      </c>
      <c r="C127" s="76">
        <f t="shared" si="18"/>
        <v>0</v>
      </c>
      <c r="D127" s="55">
        <v>39999.96</v>
      </c>
      <c r="E127" s="5" t="s">
        <v>85</v>
      </c>
      <c r="F127" s="44">
        <f>'2025 Budget Worksheet Positive'!I130</f>
        <v>0</v>
      </c>
    </row>
    <row r="128" spans="1:9" x14ac:dyDescent="0.25">
      <c r="A128" s="51" t="s">
        <v>66</v>
      </c>
      <c r="B128" s="77">
        <v>1519.8</v>
      </c>
      <c r="C128" s="77">
        <f t="shared" si="18"/>
        <v>1823.7599999999998</v>
      </c>
      <c r="D128" s="60">
        <v>1800</v>
      </c>
      <c r="E128" s="130" t="s">
        <v>66</v>
      </c>
      <c r="F128" s="44">
        <f>'2025 Budget Worksheet Positive'!I131</f>
        <v>1823.7599999999998</v>
      </c>
    </row>
    <row r="129" spans="1:6" ht="28.9" customHeight="1" x14ac:dyDescent="0.25">
      <c r="A129" s="162" t="s">
        <v>5</v>
      </c>
      <c r="B129" s="163">
        <f t="shared" ref="B129:D129" si="19">SUM(B101:B128)</f>
        <v>154058.26999999999</v>
      </c>
      <c r="C129" s="163">
        <f t="shared" si="19"/>
        <v>184869.92400000003</v>
      </c>
      <c r="D129" s="107">
        <f t="shared" si="19"/>
        <v>230537.1</v>
      </c>
      <c r="E129" s="162" t="s">
        <v>5</v>
      </c>
      <c r="F129" s="108">
        <f>SUM(F101:F128)</f>
        <v>229993.76748000001</v>
      </c>
    </row>
    <row r="130" spans="1:6" ht="14.45" customHeight="1" x14ac:dyDescent="0.25">
      <c r="A130" s="158"/>
      <c r="B130" s="169"/>
      <c r="C130" s="169"/>
      <c r="D130" s="66"/>
      <c r="E130" s="158"/>
      <c r="F130" s="48"/>
    </row>
    <row r="131" spans="1:6" ht="29.45" customHeight="1" x14ac:dyDescent="0.25">
      <c r="A131" s="164" t="s">
        <v>6</v>
      </c>
      <c r="B131" s="165">
        <f>(B97)-(B129)</f>
        <v>-563.67999999996391</v>
      </c>
      <c r="C131" s="166">
        <f>(C97)-(C129)</f>
        <v>-4870.5226666666858</v>
      </c>
      <c r="D131" s="167">
        <f>(D97)-(D129)</f>
        <v>26227.449999999983</v>
      </c>
      <c r="E131" s="164" t="s">
        <v>6</v>
      </c>
      <c r="F131" s="177">
        <f>(F97)-(F129)</f>
        <v>281.59051999999792</v>
      </c>
    </row>
    <row r="132" spans="1:6" ht="15.6" customHeight="1" x14ac:dyDescent="0.25">
      <c r="A132" s="170"/>
      <c r="B132" s="171"/>
      <c r="C132" s="38"/>
      <c r="D132" s="172"/>
      <c r="E132" s="170"/>
      <c r="F132" s="173"/>
    </row>
    <row r="133" spans="1:6" x14ac:dyDescent="0.25">
      <c r="A133" s="3"/>
      <c r="B133" s="11"/>
      <c r="C133" s="11"/>
      <c r="D133" s="55"/>
      <c r="E133" s="3"/>
      <c r="F133" s="44"/>
    </row>
    <row r="134" spans="1:6" x14ac:dyDescent="0.25">
      <c r="A134" s="125" t="s">
        <v>7</v>
      </c>
      <c r="B134" s="77"/>
      <c r="C134" s="77"/>
      <c r="D134" s="60"/>
      <c r="E134" s="125" t="s">
        <v>7</v>
      </c>
      <c r="F134" s="45"/>
    </row>
    <row r="135" spans="1:6" x14ac:dyDescent="0.25">
      <c r="A135" s="5" t="s">
        <v>93</v>
      </c>
      <c r="B135" s="76">
        <v>2500</v>
      </c>
      <c r="C135" s="76"/>
      <c r="D135" s="55"/>
      <c r="E135" s="5" t="s">
        <v>67</v>
      </c>
      <c r="F135" s="44"/>
    </row>
    <row r="136" spans="1:6" x14ac:dyDescent="0.25">
      <c r="A136" s="5" t="s">
        <v>91</v>
      </c>
      <c r="B136" s="76">
        <v>0</v>
      </c>
      <c r="C136" s="76"/>
      <c r="D136" s="55"/>
      <c r="E136" s="5" t="s">
        <v>91</v>
      </c>
      <c r="F136" s="44"/>
    </row>
    <row r="137" spans="1:6" x14ac:dyDescent="0.25">
      <c r="A137" s="5" t="s">
        <v>92</v>
      </c>
      <c r="B137" s="76">
        <v>0</v>
      </c>
      <c r="C137" s="76"/>
      <c r="D137" s="55"/>
      <c r="E137" s="5" t="s">
        <v>92</v>
      </c>
      <c r="F137" s="44"/>
    </row>
    <row r="138" spans="1:6" x14ac:dyDescent="0.25">
      <c r="A138" s="5" t="s">
        <v>93</v>
      </c>
      <c r="B138" s="76"/>
      <c r="C138" s="76"/>
      <c r="D138" s="55"/>
      <c r="E138" s="5" t="s">
        <v>93</v>
      </c>
      <c r="F138" s="44"/>
    </row>
    <row r="139" spans="1:6" x14ac:dyDescent="0.25">
      <c r="A139" s="5" t="s">
        <v>68</v>
      </c>
      <c r="B139" s="76">
        <v>70.52</v>
      </c>
      <c r="C139" s="76"/>
      <c r="D139" s="55"/>
      <c r="E139" s="5" t="s">
        <v>68</v>
      </c>
      <c r="F139" s="44"/>
    </row>
    <row r="140" spans="1:6" x14ac:dyDescent="0.25">
      <c r="A140" s="5" t="s">
        <v>86</v>
      </c>
      <c r="B140" s="76">
        <v>9270</v>
      </c>
      <c r="C140" s="76"/>
      <c r="D140" s="55"/>
      <c r="E140" s="5" t="s">
        <v>86</v>
      </c>
      <c r="F140" s="44"/>
    </row>
    <row r="141" spans="1:6" x14ac:dyDescent="0.25">
      <c r="A141" s="5" t="s">
        <v>95</v>
      </c>
      <c r="B141" s="76">
        <v>-7820.95</v>
      </c>
      <c r="C141" s="76"/>
      <c r="D141" s="55"/>
      <c r="E141" s="5" t="s">
        <v>95</v>
      </c>
      <c r="F141" s="44"/>
    </row>
    <row r="142" spans="1:6" x14ac:dyDescent="0.25">
      <c r="A142" s="5" t="s">
        <v>69</v>
      </c>
      <c r="B142" s="77">
        <v>2774.38</v>
      </c>
      <c r="C142" s="78"/>
      <c r="D142" s="55"/>
      <c r="E142" s="5" t="s">
        <v>69</v>
      </c>
      <c r="F142" s="44"/>
    </row>
    <row r="143" spans="1:6" x14ac:dyDescent="0.25">
      <c r="A143" s="138" t="s">
        <v>8</v>
      </c>
      <c r="B143" s="174">
        <f t="shared" ref="B143:D143" si="20">SUM(B135:B142)</f>
        <v>6793.9500000000007</v>
      </c>
      <c r="C143" s="175">
        <f t="shared" si="20"/>
        <v>0</v>
      </c>
      <c r="D143" s="66">
        <f t="shared" si="20"/>
        <v>0</v>
      </c>
      <c r="E143" s="138" t="s">
        <v>8</v>
      </c>
      <c r="F143" s="48">
        <f>SUM(F135:F142)</f>
        <v>0</v>
      </c>
    </row>
    <row r="144" spans="1:6" x14ac:dyDescent="0.25">
      <c r="A144" s="3"/>
      <c r="B144" s="79"/>
      <c r="C144" s="76"/>
      <c r="D144" s="55"/>
      <c r="E144" s="3"/>
      <c r="F144" s="41"/>
    </row>
    <row r="145" spans="1:6" ht="15.75" thickBot="1" x14ac:dyDescent="0.3">
      <c r="A145" s="7" t="s">
        <v>70</v>
      </c>
      <c r="B145" s="88">
        <f>(B131)+(B143)</f>
        <v>6230.2700000000368</v>
      </c>
      <c r="C145" s="86">
        <f>(C131)+(C143)</f>
        <v>-4870.5226666666858</v>
      </c>
      <c r="D145" s="69">
        <f t="shared" ref="D145" si="21">(D131)+(D143)</f>
        <v>26227.449999999983</v>
      </c>
      <c r="E145" s="3" t="s">
        <v>70</v>
      </c>
      <c r="F145" s="50">
        <f>(F131)+(F143)</f>
        <v>281.59051999999792</v>
      </c>
    </row>
    <row r="146" spans="1:6" ht="15.75" thickTop="1" x14ac:dyDescent="0.25">
      <c r="A146" s="3"/>
      <c r="B146" s="11"/>
      <c r="C146" s="11"/>
      <c r="D146" s="22"/>
      <c r="E146"/>
    </row>
    <row r="147" spans="1:6" x14ac:dyDescent="0.25">
      <c r="A147" s="1"/>
      <c r="B147" s="11"/>
      <c r="C147" s="11"/>
      <c r="D147" s="22"/>
      <c r="E147"/>
    </row>
    <row r="148" spans="1:6" x14ac:dyDescent="0.25">
      <c r="A148" s="18" t="s">
        <v>140</v>
      </c>
      <c r="B148" s="11"/>
      <c r="C148" s="11"/>
      <c r="D148" s="22"/>
      <c r="E148"/>
    </row>
    <row r="149" spans="1:6" x14ac:dyDescent="0.25">
      <c r="A149" s="17" t="s">
        <v>141</v>
      </c>
      <c r="B149" s="11"/>
      <c r="C149" s="11"/>
      <c r="D149" s="22"/>
      <c r="E149"/>
    </row>
    <row r="150" spans="1:6" x14ac:dyDescent="0.25">
      <c r="A150" s="17" t="s">
        <v>142</v>
      </c>
      <c r="B150" s="11"/>
      <c r="C150" s="11"/>
      <c r="D150" s="22"/>
      <c r="E150"/>
    </row>
    <row r="151" spans="1:6" x14ac:dyDescent="0.25">
      <c r="A151" s="1"/>
      <c r="B151" s="11"/>
      <c r="C151" s="11"/>
      <c r="D151" s="22"/>
      <c r="E151"/>
    </row>
    <row r="152" spans="1:6" x14ac:dyDescent="0.25">
      <c r="A152" s="1"/>
      <c r="B152" s="11"/>
      <c r="C152" s="11"/>
      <c r="D152" s="22"/>
      <c r="E152"/>
    </row>
    <row r="153" spans="1:6" x14ac:dyDescent="0.25">
      <c r="A153" s="19"/>
      <c r="B153" s="11"/>
      <c r="C153" s="11"/>
      <c r="D153" s="22"/>
      <c r="E153"/>
    </row>
    <row r="154" spans="1:6" ht="15.75" x14ac:dyDescent="0.25">
      <c r="A154" s="8"/>
      <c r="B154" s="10"/>
      <c r="C154" s="10"/>
      <c r="D154" s="70"/>
      <c r="E154"/>
    </row>
    <row r="155" spans="1:6" ht="15.75" x14ac:dyDescent="0.25">
      <c r="A155" s="8"/>
      <c r="B155" s="10"/>
      <c r="C155" s="10"/>
      <c r="D155" s="70"/>
      <c r="E155"/>
    </row>
    <row r="156" spans="1:6" ht="15.75" x14ac:dyDescent="0.25">
      <c r="A156" s="8"/>
      <c r="B156" s="10"/>
      <c r="C156" s="10"/>
      <c r="D156" s="70"/>
      <c r="E156"/>
    </row>
    <row r="157" spans="1:6" ht="15.75" x14ac:dyDescent="0.25">
      <c r="A157" s="8"/>
      <c r="B157" s="10"/>
      <c r="C157" s="10"/>
      <c r="D157" s="70"/>
      <c r="E157"/>
    </row>
    <row r="158" spans="1:6" ht="15.75" x14ac:dyDescent="0.25">
      <c r="A158" s="20"/>
      <c r="B158" s="10"/>
      <c r="C158" s="10"/>
      <c r="D158" s="70"/>
      <c r="E158"/>
    </row>
    <row r="159" spans="1:6" ht="15.75" x14ac:dyDescent="0.25">
      <c r="A159" s="8"/>
      <c r="E159"/>
    </row>
    <row r="160" spans="1:6" ht="15.75" x14ac:dyDescent="0.25">
      <c r="A160" s="8"/>
      <c r="E160"/>
    </row>
    <row r="161" spans="1:5" ht="15.75" x14ac:dyDescent="0.25">
      <c r="A161" s="8"/>
      <c r="E161"/>
    </row>
    <row r="162" spans="1:5" ht="15.75" x14ac:dyDescent="0.25">
      <c r="A162" s="8"/>
      <c r="E162"/>
    </row>
    <row r="163" spans="1:5" ht="15.75" x14ac:dyDescent="0.25">
      <c r="A163" s="8"/>
      <c r="E163"/>
    </row>
    <row r="164" spans="1:5" ht="15.75" x14ac:dyDescent="0.25">
      <c r="A164" s="8"/>
      <c r="E164"/>
    </row>
    <row r="165" spans="1:5" ht="15.75" x14ac:dyDescent="0.25">
      <c r="A165" s="8"/>
      <c r="E165"/>
    </row>
    <row r="166" spans="1:5" ht="15.75" x14ac:dyDescent="0.25">
      <c r="A166" s="8"/>
      <c r="E166"/>
    </row>
    <row r="167" spans="1:5" ht="15.75" x14ac:dyDescent="0.25">
      <c r="A167" s="8"/>
      <c r="E167"/>
    </row>
    <row r="168" spans="1:5" ht="15.75" x14ac:dyDescent="0.25">
      <c r="A168" s="8"/>
      <c r="E168"/>
    </row>
    <row r="169" spans="1:5" ht="15.75" x14ac:dyDescent="0.25">
      <c r="A169" s="8"/>
      <c r="E169" s="22"/>
    </row>
    <row r="170" spans="1:5" ht="15.75" x14ac:dyDescent="0.25">
      <c r="A170" s="8"/>
      <c r="E170" s="22"/>
    </row>
    <row r="171" spans="1:5" ht="15.75" x14ac:dyDescent="0.25">
      <c r="A171" s="8"/>
      <c r="E171" s="22"/>
    </row>
    <row r="172" spans="1:5" ht="15.75" x14ac:dyDescent="0.25">
      <c r="A172" s="8"/>
      <c r="E172" s="22"/>
    </row>
    <row r="173" spans="1:5" ht="15.75" x14ac:dyDescent="0.25">
      <c r="A173" s="8"/>
      <c r="E173" s="22"/>
    </row>
    <row r="174" spans="1:5" ht="15.75" x14ac:dyDescent="0.25">
      <c r="A174" s="8"/>
      <c r="E174" s="22"/>
    </row>
    <row r="175" spans="1:5" ht="15.75" x14ac:dyDescent="0.25">
      <c r="A175" s="8"/>
      <c r="E175" s="22"/>
    </row>
    <row r="176" spans="1:5" ht="15.75" x14ac:dyDescent="0.25">
      <c r="A176" s="8"/>
    </row>
    <row r="177" spans="1:1" ht="15.75" x14ac:dyDescent="0.25">
      <c r="A177" s="8"/>
    </row>
    <row r="178" spans="1:1" ht="15.75" x14ac:dyDescent="0.25">
      <c r="A178" s="8"/>
    </row>
    <row r="179" spans="1:1" ht="15.75" x14ac:dyDescent="0.25">
      <c r="A179" s="8"/>
    </row>
    <row r="180" spans="1:1" ht="15.75" x14ac:dyDescent="0.25">
      <c r="A180" s="8"/>
    </row>
    <row r="181" spans="1:1" ht="15.75" x14ac:dyDescent="0.25">
      <c r="A181" s="8"/>
    </row>
    <row r="182" spans="1:1" ht="15.75" x14ac:dyDescent="0.25">
      <c r="A182" s="8"/>
    </row>
    <row r="183" spans="1:1" ht="15.75" x14ac:dyDescent="0.25">
      <c r="A183" s="8"/>
    </row>
    <row r="184" spans="1:1" ht="15.75" x14ac:dyDescent="0.25">
      <c r="A184" s="8"/>
    </row>
    <row r="185" spans="1:1" ht="15.75" x14ac:dyDescent="0.25">
      <c r="A185" s="8"/>
    </row>
  </sheetData>
  <mergeCells count="4">
    <mergeCell ref="A1:F1"/>
    <mergeCell ref="A2:F2"/>
    <mergeCell ref="A3:F3"/>
    <mergeCell ref="F5:F6"/>
  </mergeCells>
  <printOptions gridLines="1"/>
  <pageMargins left="0.25" right="0.25" top="0.25" bottom="0.25" header="0.3" footer="0.3"/>
  <pageSetup scale="66" fitToHeight="0" orientation="portrait" cellComments="asDisplayed" r:id="rId1"/>
  <rowBreaks count="2" manualBreakCount="2">
    <brk id="55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1860-BB14-4483-AD67-0B2C9226E11F}">
  <dimension ref="B2:P47"/>
  <sheetViews>
    <sheetView topLeftCell="A23" zoomScale="130" zoomScaleNormal="130" workbookViewId="0">
      <selection activeCell="N34" sqref="N34"/>
    </sheetView>
  </sheetViews>
  <sheetFormatPr defaultColWidth="8.85546875" defaultRowHeight="14.25" x14ac:dyDescent="0.2"/>
  <cols>
    <col min="1" max="1" width="5" style="1" customWidth="1"/>
    <col min="2" max="7" width="8.85546875" style="1"/>
    <col min="8" max="8" width="18.28515625" style="1" customWidth="1"/>
    <col min="9" max="9" width="4.28515625" style="1" customWidth="1"/>
    <col min="10" max="15" width="8.85546875" style="1"/>
    <col min="16" max="16" width="17.7109375" style="1" customWidth="1"/>
    <col min="17" max="16384" width="8.85546875" style="1"/>
  </cols>
  <sheetData>
    <row r="2" spans="2:16" ht="15" thickBot="1" x14ac:dyDescent="0.25"/>
    <row r="3" spans="2:16" ht="20.45" customHeight="1" thickBot="1" x14ac:dyDescent="0.3">
      <c r="B3" s="189" t="s">
        <v>226</v>
      </c>
      <c r="C3" s="190"/>
      <c r="D3" s="190"/>
      <c r="E3" s="190"/>
      <c r="F3" s="190"/>
      <c r="G3" s="190"/>
      <c r="H3" s="191"/>
      <c r="J3" s="189" t="s">
        <v>226</v>
      </c>
      <c r="K3" s="190"/>
      <c r="L3" s="190"/>
      <c r="M3" s="190"/>
      <c r="N3" s="190"/>
      <c r="O3" s="190"/>
      <c r="P3" s="191"/>
    </row>
    <row r="4" spans="2:16" ht="20.45" customHeight="1" x14ac:dyDescent="0.2">
      <c r="B4" s="192" t="s">
        <v>199</v>
      </c>
      <c r="C4" s="193"/>
      <c r="D4" s="193"/>
      <c r="E4" s="193"/>
      <c r="F4" s="193"/>
      <c r="G4" s="193"/>
      <c r="H4" s="194"/>
      <c r="J4" s="192" t="s">
        <v>210</v>
      </c>
      <c r="K4" s="193"/>
      <c r="L4" s="193"/>
      <c r="M4" s="193"/>
      <c r="N4" s="193"/>
      <c r="O4" s="193"/>
      <c r="P4" s="194"/>
    </row>
    <row r="5" spans="2:16" ht="15" x14ac:dyDescent="0.25">
      <c r="B5" s="184" t="s">
        <v>10</v>
      </c>
      <c r="C5" s="185"/>
      <c r="D5" s="185"/>
      <c r="E5" s="185"/>
      <c r="F5" s="185"/>
      <c r="G5" s="185"/>
      <c r="H5" s="186"/>
      <c r="J5" s="184" t="s">
        <v>54</v>
      </c>
      <c r="K5" s="185"/>
      <c r="L5" s="185"/>
      <c r="M5" s="185"/>
      <c r="N5" s="185"/>
      <c r="O5" s="185"/>
      <c r="P5" s="186"/>
    </row>
    <row r="6" spans="2:16" x14ac:dyDescent="0.2">
      <c r="B6" s="122"/>
      <c r="C6" s="195" t="s">
        <v>167</v>
      </c>
      <c r="D6" s="195"/>
      <c r="E6" s="195"/>
      <c r="F6" s="195"/>
      <c r="G6" s="195"/>
      <c r="H6" s="196"/>
      <c r="J6" s="122"/>
      <c r="K6" s="195" t="s">
        <v>211</v>
      </c>
      <c r="L6" s="195"/>
      <c r="M6" s="195"/>
      <c r="N6" s="195"/>
      <c r="O6" s="195"/>
      <c r="P6" s="196"/>
    </row>
    <row r="7" spans="2:16" ht="15" x14ac:dyDescent="0.25">
      <c r="B7" s="122"/>
      <c r="C7" s="195" t="s">
        <v>227</v>
      </c>
      <c r="D7" s="195"/>
      <c r="E7" s="195"/>
      <c r="F7" s="195"/>
      <c r="G7" s="195"/>
      <c r="H7" s="196"/>
      <c r="J7" s="184" t="s">
        <v>55</v>
      </c>
      <c r="K7" s="185"/>
      <c r="L7" s="185"/>
      <c r="M7" s="185"/>
      <c r="N7" s="185"/>
      <c r="O7" s="185"/>
      <c r="P7" s="186"/>
    </row>
    <row r="8" spans="2:16" x14ac:dyDescent="0.2">
      <c r="B8" s="122"/>
      <c r="C8" s="199" t="s">
        <v>228</v>
      </c>
      <c r="D8" s="199"/>
      <c r="E8" s="199"/>
      <c r="F8" s="199"/>
      <c r="G8" s="199"/>
      <c r="H8" s="200"/>
      <c r="J8" s="122"/>
      <c r="K8" s="195" t="s">
        <v>212</v>
      </c>
      <c r="L8" s="195"/>
      <c r="M8" s="195"/>
      <c r="N8" s="195"/>
      <c r="O8" s="195"/>
      <c r="P8" s="196"/>
    </row>
    <row r="9" spans="2:16" ht="15" x14ac:dyDescent="0.25">
      <c r="B9" s="184" t="s">
        <v>170</v>
      </c>
      <c r="C9" s="185"/>
      <c r="D9" s="185"/>
      <c r="E9" s="185"/>
      <c r="F9" s="185"/>
      <c r="G9" s="185"/>
      <c r="H9" s="186"/>
      <c r="J9" s="184" t="s">
        <v>60</v>
      </c>
      <c r="K9" s="185"/>
      <c r="L9" s="185"/>
      <c r="M9" s="185"/>
      <c r="N9" s="185"/>
      <c r="O9" s="185"/>
      <c r="P9" s="186"/>
    </row>
    <row r="10" spans="2:16" x14ac:dyDescent="0.2">
      <c r="B10" s="122"/>
      <c r="C10" s="195" t="s">
        <v>171</v>
      </c>
      <c r="D10" s="195"/>
      <c r="E10" s="195"/>
      <c r="F10" s="195"/>
      <c r="G10" s="195"/>
      <c r="H10" s="196"/>
      <c r="J10" s="122"/>
      <c r="K10" s="182" t="s">
        <v>213</v>
      </c>
      <c r="L10" s="182"/>
      <c r="M10" s="182"/>
      <c r="N10" s="182"/>
      <c r="O10" s="182"/>
      <c r="P10" s="183"/>
    </row>
    <row r="11" spans="2:16" ht="15" x14ac:dyDescent="0.25">
      <c r="B11" s="122"/>
      <c r="C11" s="195" t="s">
        <v>172</v>
      </c>
      <c r="D11" s="195"/>
      <c r="E11" s="195"/>
      <c r="F11" s="195"/>
      <c r="G11" s="195"/>
      <c r="H11" s="196"/>
      <c r="J11" s="184" t="s">
        <v>61</v>
      </c>
      <c r="K11" s="185"/>
      <c r="L11" s="185"/>
      <c r="M11" s="185"/>
      <c r="N11" s="185"/>
      <c r="O11" s="185"/>
      <c r="P11" s="186"/>
    </row>
    <row r="12" spans="2:16" ht="15" x14ac:dyDescent="0.25">
      <c r="B12" s="184" t="s">
        <v>173</v>
      </c>
      <c r="C12" s="185"/>
      <c r="D12" s="185"/>
      <c r="E12" s="185"/>
      <c r="F12" s="185"/>
      <c r="G12" s="185"/>
      <c r="H12" s="186"/>
      <c r="J12" s="122"/>
      <c r="K12" s="182" t="s">
        <v>214</v>
      </c>
      <c r="L12" s="182"/>
      <c r="M12" s="182"/>
      <c r="N12" s="182"/>
      <c r="O12" s="182"/>
      <c r="P12" s="183"/>
    </row>
    <row r="13" spans="2:16" ht="15" x14ac:dyDescent="0.25">
      <c r="B13" s="122"/>
      <c r="C13" s="182" t="s">
        <v>177</v>
      </c>
      <c r="D13" s="182"/>
      <c r="E13" s="182"/>
      <c r="F13" s="182"/>
      <c r="G13" s="182"/>
      <c r="H13" s="183"/>
      <c r="J13" s="184" t="s">
        <v>63</v>
      </c>
      <c r="K13" s="185"/>
      <c r="L13" s="185"/>
      <c r="M13" s="185"/>
      <c r="N13" s="185"/>
      <c r="O13" s="185"/>
      <c r="P13" s="186"/>
    </row>
    <row r="14" spans="2:16" x14ac:dyDescent="0.2">
      <c r="B14" s="122"/>
      <c r="C14" s="182" t="s">
        <v>174</v>
      </c>
      <c r="D14" s="182"/>
      <c r="E14" s="182"/>
      <c r="F14" s="182"/>
      <c r="G14" s="182"/>
      <c r="H14" s="183"/>
      <c r="J14" s="122"/>
      <c r="K14" s="182" t="s">
        <v>215</v>
      </c>
      <c r="L14" s="182"/>
      <c r="M14" s="182"/>
      <c r="N14" s="182"/>
      <c r="O14" s="182"/>
      <c r="P14" s="183"/>
    </row>
    <row r="15" spans="2:16" x14ac:dyDescent="0.2">
      <c r="B15" s="122"/>
      <c r="C15" s="182" t="s">
        <v>175</v>
      </c>
      <c r="D15" s="182"/>
      <c r="E15" s="182"/>
      <c r="F15" s="182"/>
      <c r="G15" s="182"/>
      <c r="H15" s="183"/>
      <c r="J15" s="122"/>
      <c r="K15" s="182" t="s">
        <v>216</v>
      </c>
      <c r="L15" s="182"/>
      <c r="M15" s="182"/>
      <c r="N15" s="182"/>
      <c r="O15" s="182"/>
      <c r="P15" s="183"/>
    </row>
    <row r="16" spans="2:16" ht="15" x14ac:dyDescent="0.25">
      <c r="B16" s="122"/>
      <c r="C16" s="182" t="s">
        <v>176</v>
      </c>
      <c r="D16" s="182"/>
      <c r="E16" s="182"/>
      <c r="F16" s="182"/>
      <c r="G16" s="182"/>
      <c r="H16" s="183"/>
      <c r="J16" s="184" t="s">
        <v>84</v>
      </c>
      <c r="K16" s="185"/>
      <c r="L16" s="185"/>
      <c r="M16" s="185"/>
      <c r="N16" s="185"/>
      <c r="O16" s="185"/>
      <c r="P16" s="186"/>
    </row>
    <row r="17" spans="2:16" ht="15" x14ac:dyDescent="0.25">
      <c r="B17" s="184" t="s">
        <v>178</v>
      </c>
      <c r="C17" s="185"/>
      <c r="D17" s="185"/>
      <c r="E17" s="185"/>
      <c r="F17" s="185"/>
      <c r="G17" s="185"/>
      <c r="H17" s="186"/>
      <c r="J17" s="122"/>
      <c r="K17" s="182" t="s">
        <v>217</v>
      </c>
      <c r="L17" s="182"/>
      <c r="M17" s="182"/>
      <c r="N17" s="182"/>
      <c r="O17" s="182"/>
      <c r="P17" s="183"/>
    </row>
    <row r="18" spans="2:16" ht="15" x14ac:dyDescent="0.25">
      <c r="B18" s="122"/>
      <c r="C18" s="182" t="s">
        <v>179</v>
      </c>
      <c r="D18" s="182"/>
      <c r="E18" s="182"/>
      <c r="F18" s="182"/>
      <c r="G18" s="182"/>
      <c r="H18" s="183"/>
      <c r="J18" s="184" t="s">
        <v>218</v>
      </c>
      <c r="K18" s="185"/>
      <c r="L18" s="185"/>
      <c r="M18" s="185"/>
      <c r="N18" s="185"/>
      <c r="O18" s="185"/>
      <c r="P18" s="186"/>
    </row>
    <row r="19" spans="2:16" ht="15" thickBot="1" x14ac:dyDescent="0.25">
      <c r="B19" s="122"/>
      <c r="C19" s="182" t="s">
        <v>180</v>
      </c>
      <c r="D19" s="182"/>
      <c r="E19" s="182"/>
      <c r="F19" s="182"/>
      <c r="G19" s="182"/>
      <c r="H19" s="183"/>
      <c r="J19" s="123"/>
      <c r="K19" s="187" t="s">
        <v>219</v>
      </c>
      <c r="L19" s="187"/>
      <c r="M19" s="187"/>
      <c r="N19" s="187"/>
      <c r="O19" s="187"/>
      <c r="P19" s="188"/>
    </row>
    <row r="20" spans="2:16" ht="15" x14ac:dyDescent="0.25">
      <c r="B20" s="184" t="s">
        <v>181</v>
      </c>
      <c r="C20" s="185"/>
      <c r="D20" s="185"/>
      <c r="E20" s="185"/>
      <c r="F20" s="185"/>
      <c r="G20" s="185"/>
      <c r="H20" s="186"/>
    </row>
    <row r="21" spans="2:16" x14ac:dyDescent="0.2">
      <c r="B21" s="122"/>
      <c r="C21" s="182" t="s">
        <v>182</v>
      </c>
      <c r="D21" s="182"/>
      <c r="E21" s="182"/>
      <c r="F21" s="182"/>
      <c r="G21" s="182"/>
      <c r="H21" s="183"/>
    </row>
    <row r="22" spans="2:16" x14ac:dyDescent="0.2">
      <c r="B22" s="122"/>
      <c r="C22" s="182" t="s">
        <v>183</v>
      </c>
      <c r="D22" s="182"/>
      <c r="E22" s="182"/>
      <c r="F22" s="182"/>
      <c r="G22" s="182"/>
      <c r="H22" s="183"/>
    </row>
    <row r="23" spans="2:16" ht="15" x14ac:dyDescent="0.25">
      <c r="B23" s="184" t="s">
        <v>184</v>
      </c>
      <c r="C23" s="185"/>
      <c r="D23" s="185"/>
      <c r="E23" s="185"/>
      <c r="F23" s="185"/>
      <c r="G23" s="185"/>
      <c r="H23" s="186"/>
    </row>
    <row r="24" spans="2:16" x14ac:dyDescent="0.2">
      <c r="B24" s="122"/>
      <c r="C24" s="182" t="s">
        <v>185</v>
      </c>
      <c r="D24" s="182"/>
      <c r="E24" s="182"/>
      <c r="F24" s="182"/>
      <c r="G24" s="182"/>
      <c r="H24" s="183"/>
    </row>
    <row r="25" spans="2:16" ht="15" x14ac:dyDescent="0.25">
      <c r="B25" s="184" t="s">
        <v>186</v>
      </c>
      <c r="C25" s="185"/>
      <c r="D25" s="185"/>
      <c r="E25" s="185"/>
      <c r="F25" s="185"/>
      <c r="G25" s="185"/>
      <c r="H25" s="186"/>
    </row>
    <row r="26" spans="2:16" x14ac:dyDescent="0.2">
      <c r="B26" s="122"/>
      <c r="C26" s="182" t="s">
        <v>188</v>
      </c>
      <c r="D26" s="182"/>
      <c r="E26" s="182"/>
      <c r="F26" s="182"/>
      <c r="G26" s="182"/>
      <c r="H26" s="183"/>
    </row>
    <row r="27" spans="2:16" x14ac:dyDescent="0.2">
      <c r="B27" s="122"/>
      <c r="C27" s="182" t="s">
        <v>187</v>
      </c>
      <c r="D27" s="182"/>
      <c r="E27" s="182"/>
      <c r="F27" s="182"/>
      <c r="G27" s="182"/>
      <c r="H27" s="183"/>
    </row>
    <row r="28" spans="2:16" ht="15" x14ac:dyDescent="0.25">
      <c r="B28" s="184" t="s">
        <v>189</v>
      </c>
      <c r="C28" s="185"/>
      <c r="D28" s="185"/>
      <c r="E28" s="185"/>
      <c r="F28" s="185"/>
      <c r="G28" s="185"/>
      <c r="H28" s="186"/>
      <c r="J28" s="121"/>
      <c r="K28" s="121"/>
      <c r="L28" s="121"/>
      <c r="M28" s="121"/>
      <c r="N28" s="121"/>
      <c r="O28" s="121"/>
      <c r="P28" s="121"/>
    </row>
    <row r="29" spans="2:16" x14ac:dyDescent="0.2">
      <c r="B29" s="122"/>
      <c r="C29" s="182" t="s">
        <v>190</v>
      </c>
      <c r="D29" s="182"/>
      <c r="E29" s="182"/>
      <c r="F29" s="182"/>
      <c r="G29" s="182"/>
      <c r="H29" s="183"/>
    </row>
    <row r="30" spans="2:16" ht="15" x14ac:dyDescent="0.25">
      <c r="B30" s="184" t="s">
        <v>201</v>
      </c>
      <c r="C30" s="185"/>
      <c r="D30" s="185"/>
      <c r="E30" s="185"/>
      <c r="F30" s="185"/>
      <c r="G30" s="185"/>
      <c r="H30" s="186"/>
      <c r="J30" s="121"/>
      <c r="K30" s="121"/>
      <c r="L30" s="121"/>
      <c r="M30" s="121"/>
      <c r="N30" s="121"/>
      <c r="O30" s="121"/>
      <c r="P30" s="121"/>
    </row>
    <row r="31" spans="2:16" x14ac:dyDescent="0.2">
      <c r="B31" s="122"/>
      <c r="C31" s="182" t="s">
        <v>202</v>
      </c>
      <c r="D31" s="182"/>
      <c r="E31" s="182"/>
      <c r="F31" s="182"/>
      <c r="G31" s="182"/>
      <c r="H31" s="183"/>
    </row>
    <row r="32" spans="2:16" x14ac:dyDescent="0.2">
      <c r="B32" s="122"/>
      <c r="C32" s="201" t="s">
        <v>203</v>
      </c>
      <c r="D32" s="201"/>
      <c r="E32" s="201"/>
      <c r="F32" s="201"/>
      <c r="G32" s="201"/>
      <c r="H32" s="202"/>
    </row>
    <row r="33" spans="2:16" x14ac:dyDescent="0.2">
      <c r="B33" s="122"/>
      <c r="C33" s="182" t="s">
        <v>229</v>
      </c>
      <c r="D33" s="182"/>
      <c r="E33" s="182"/>
      <c r="F33" s="182"/>
      <c r="G33" s="182"/>
      <c r="H33" s="183"/>
    </row>
    <row r="34" spans="2:16" ht="15" x14ac:dyDescent="0.25">
      <c r="B34" s="184" t="s">
        <v>32</v>
      </c>
      <c r="C34" s="185"/>
      <c r="D34" s="185"/>
      <c r="E34" s="185"/>
      <c r="F34" s="185"/>
      <c r="G34" s="185"/>
      <c r="H34" s="186"/>
      <c r="J34" s="121"/>
      <c r="K34" s="121"/>
      <c r="L34" s="121"/>
      <c r="M34" s="121"/>
      <c r="N34" s="121"/>
      <c r="O34" s="121"/>
      <c r="P34" s="121"/>
    </row>
    <row r="35" spans="2:16" x14ac:dyDescent="0.2">
      <c r="B35" s="122"/>
      <c r="C35" s="182" t="s">
        <v>205</v>
      </c>
      <c r="D35" s="182"/>
      <c r="E35" s="182"/>
      <c r="F35" s="182"/>
      <c r="G35" s="182"/>
      <c r="H35" s="183"/>
    </row>
    <row r="36" spans="2:16" ht="15" x14ac:dyDescent="0.25">
      <c r="B36" s="184" t="s">
        <v>206</v>
      </c>
      <c r="C36" s="185"/>
      <c r="D36" s="185"/>
      <c r="E36" s="185"/>
      <c r="F36" s="185"/>
      <c r="G36" s="185"/>
      <c r="H36" s="186"/>
      <c r="J36" s="121"/>
      <c r="K36" s="121"/>
      <c r="L36" s="121"/>
      <c r="M36" s="121"/>
      <c r="N36" s="121"/>
      <c r="O36" s="121"/>
      <c r="P36" s="121"/>
    </row>
    <row r="37" spans="2:16" x14ac:dyDescent="0.2">
      <c r="B37" s="122"/>
      <c r="C37" s="182" t="s">
        <v>207</v>
      </c>
      <c r="D37" s="182"/>
      <c r="E37" s="182"/>
      <c r="F37" s="182"/>
      <c r="G37" s="182"/>
      <c r="H37" s="183"/>
    </row>
    <row r="38" spans="2:16" ht="15" x14ac:dyDescent="0.25">
      <c r="B38" s="184" t="s">
        <v>208</v>
      </c>
      <c r="C38" s="185"/>
      <c r="D38" s="185"/>
      <c r="E38" s="185"/>
      <c r="F38" s="185"/>
      <c r="G38" s="185"/>
      <c r="H38" s="186"/>
      <c r="J38" s="121"/>
      <c r="K38" s="121"/>
      <c r="L38" s="121"/>
      <c r="M38" s="121"/>
      <c r="N38" s="121"/>
      <c r="O38" s="121"/>
      <c r="P38" s="121"/>
    </row>
    <row r="39" spans="2:16" x14ac:dyDescent="0.2">
      <c r="B39" s="122"/>
      <c r="C39" s="182" t="s">
        <v>209</v>
      </c>
      <c r="D39" s="182"/>
      <c r="E39" s="182"/>
      <c r="F39" s="182"/>
      <c r="G39" s="182"/>
      <c r="H39" s="183"/>
    </row>
    <row r="40" spans="2:16" ht="15" x14ac:dyDescent="0.25">
      <c r="B40" s="184" t="s">
        <v>191</v>
      </c>
      <c r="C40" s="185"/>
      <c r="D40" s="185"/>
      <c r="E40" s="185"/>
      <c r="F40" s="185"/>
      <c r="G40" s="185"/>
      <c r="H40" s="186"/>
      <c r="J40" s="121"/>
      <c r="K40" s="121"/>
      <c r="L40" s="121"/>
      <c r="M40" s="121"/>
      <c r="N40" s="121"/>
      <c r="O40" s="121"/>
      <c r="P40" s="121"/>
    </row>
    <row r="41" spans="2:16" x14ac:dyDescent="0.2">
      <c r="B41" s="122"/>
      <c r="C41" s="182" t="s">
        <v>192</v>
      </c>
      <c r="D41" s="182"/>
      <c r="E41" s="182"/>
      <c r="F41" s="182"/>
      <c r="G41" s="182"/>
      <c r="H41" s="183"/>
    </row>
    <row r="42" spans="2:16" x14ac:dyDescent="0.2">
      <c r="B42" s="122"/>
      <c r="C42" s="182" t="s">
        <v>193</v>
      </c>
      <c r="D42" s="182"/>
      <c r="E42" s="182"/>
      <c r="F42" s="182"/>
      <c r="G42" s="182"/>
      <c r="H42" s="183"/>
    </row>
    <row r="43" spans="2:16" ht="15" x14ac:dyDescent="0.25">
      <c r="B43" s="184" t="s">
        <v>194</v>
      </c>
      <c r="C43" s="185"/>
      <c r="D43" s="185"/>
      <c r="E43" s="185"/>
      <c r="F43" s="185"/>
      <c r="G43" s="185"/>
      <c r="H43" s="186"/>
      <c r="J43" s="121"/>
      <c r="K43" s="121"/>
      <c r="L43" s="121"/>
      <c r="M43" s="121"/>
      <c r="N43" s="121"/>
      <c r="O43" s="121"/>
      <c r="P43" s="121"/>
    </row>
    <row r="44" spans="2:16" x14ac:dyDescent="0.2">
      <c r="B44" s="122"/>
      <c r="C44" s="182" t="s">
        <v>195</v>
      </c>
      <c r="D44" s="182"/>
      <c r="E44" s="182"/>
      <c r="F44" s="182"/>
      <c r="G44" s="182"/>
      <c r="H44" s="183"/>
    </row>
    <row r="45" spans="2:16" ht="15" x14ac:dyDescent="0.25">
      <c r="B45" s="184" t="s">
        <v>196</v>
      </c>
      <c r="C45" s="185"/>
      <c r="D45" s="185"/>
      <c r="E45" s="185"/>
      <c r="F45" s="185"/>
      <c r="G45" s="185"/>
      <c r="H45" s="186"/>
      <c r="J45" s="121"/>
      <c r="K45" s="121"/>
      <c r="L45" s="121"/>
      <c r="M45" s="121"/>
      <c r="N45" s="121"/>
      <c r="O45" s="121"/>
      <c r="P45" s="121"/>
    </row>
    <row r="46" spans="2:16" x14ac:dyDescent="0.2">
      <c r="B46" s="122"/>
      <c r="C46" s="182" t="s">
        <v>197</v>
      </c>
      <c r="D46" s="182"/>
      <c r="E46" s="182"/>
      <c r="F46" s="182"/>
      <c r="G46" s="182"/>
      <c r="H46" s="183"/>
    </row>
    <row r="47" spans="2:16" ht="15" thickBot="1" x14ac:dyDescent="0.25">
      <c r="B47" s="123"/>
      <c r="C47" s="187" t="s">
        <v>198</v>
      </c>
      <c r="D47" s="187"/>
      <c r="E47" s="187"/>
      <c r="F47" s="187"/>
      <c r="G47" s="187"/>
      <c r="H47" s="188"/>
    </row>
  </sheetData>
  <mergeCells count="62">
    <mergeCell ref="B3:H3"/>
    <mergeCell ref="J3:P3"/>
    <mergeCell ref="B4:H4"/>
    <mergeCell ref="J4:P4"/>
    <mergeCell ref="B5:H5"/>
    <mergeCell ref="J5:P5"/>
    <mergeCell ref="C6:H6"/>
    <mergeCell ref="K6:P6"/>
    <mergeCell ref="C7:H7"/>
    <mergeCell ref="J7:P7"/>
    <mergeCell ref="C8:H8"/>
    <mergeCell ref="K8:P8"/>
    <mergeCell ref="B9:H9"/>
    <mergeCell ref="J9:P9"/>
    <mergeCell ref="C10:H10"/>
    <mergeCell ref="K10:P10"/>
    <mergeCell ref="C11:H11"/>
    <mergeCell ref="J11:P11"/>
    <mergeCell ref="B12:H12"/>
    <mergeCell ref="K12:P12"/>
    <mergeCell ref="C13:H13"/>
    <mergeCell ref="J13:P13"/>
    <mergeCell ref="C14:H14"/>
    <mergeCell ref="K14:P14"/>
    <mergeCell ref="C15:H15"/>
    <mergeCell ref="K15:P15"/>
    <mergeCell ref="C16:H16"/>
    <mergeCell ref="J16:P16"/>
    <mergeCell ref="B17:H17"/>
    <mergeCell ref="K17:P17"/>
    <mergeCell ref="C27:H27"/>
    <mergeCell ref="C18:H18"/>
    <mergeCell ref="J18:P18"/>
    <mergeCell ref="C19:H19"/>
    <mergeCell ref="K19:P19"/>
    <mergeCell ref="B20:H20"/>
    <mergeCell ref="C21:H21"/>
    <mergeCell ref="C22:H22"/>
    <mergeCell ref="B23:H23"/>
    <mergeCell ref="C24:H24"/>
    <mergeCell ref="B25:H25"/>
    <mergeCell ref="C26:H26"/>
    <mergeCell ref="C39:H39"/>
    <mergeCell ref="B28:H28"/>
    <mergeCell ref="C29:H29"/>
    <mergeCell ref="B30:H30"/>
    <mergeCell ref="C31:H31"/>
    <mergeCell ref="C32:H32"/>
    <mergeCell ref="C33:H33"/>
    <mergeCell ref="B34:H34"/>
    <mergeCell ref="C35:H35"/>
    <mergeCell ref="B36:H36"/>
    <mergeCell ref="C37:H37"/>
    <mergeCell ref="B38:H38"/>
    <mergeCell ref="C46:H46"/>
    <mergeCell ref="C47:H47"/>
    <mergeCell ref="B40:H40"/>
    <mergeCell ref="C41:H41"/>
    <mergeCell ref="C42:H42"/>
    <mergeCell ref="B43:H43"/>
    <mergeCell ref="C44:H44"/>
    <mergeCell ref="B45:H45"/>
  </mergeCells>
  <printOptions horizontalCentered="1"/>
  <pageMargins left="0.25" right="0.25" top="0.75" bottom="0.75" header="0.3" footer="0.3"/>
  <pageSetup scale="75" orientation="landscape" r:id="rId1"/>
  <headerFooter>
    <oddHeader>&amp;C&amp;"Arial,Regular"&amp;16Fauquier Chamber of Commerce Positive Budget Version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EC4C-0715-4C6A-B2FE-F820FEED1BC5}">
  <sheetPr>
    <pageSetUpPr fitToPage="1"/>
  </sheetPr>
  <dimension ref="A1:L186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22" sqref="J22"/>
    </sheetView>
  </sheetViews>
  <sheetFormatPr defaultRowHeight="15" x14ac:dyDescent="0.25"/>
  <cols>
    <col min="1" max="1" width="41.42578125" customWidth="1"/>
    <col min="2" max="2" width="16.85546875" customWidth="1"/>
    <col min="3" max="6" width="15.85546875" style="2" customWidth="1"/>
    <col min="7" max="7" width="15.140625" style="71" customWidth="1"/>
    <col min="8" max="8" width="39.85546875" style="16" customWidth="1"/>
    <col min="9" max="9" width="14.42578125" customWidth="1"/>
    <col min="10" max="10" width="29.85546875" customWidth="1"/>
    <col min="11" max="11" width="10.85546875" bestFit="1" customWidth="1"/>
    <col min="12" max="12" width="13.28515625" customWidth="1"/>
  </cols>
  <sheetData>
    <row r="1" spans="1:12" ht="18" x14ac:dyDescent="0.25">
      <c r="A1" s="178" t="s">
        <v>9</v>
      </c>
      <c r="B1" s="178"/>
      <c r="C1" s="178"/>
      <c r="D1" s="178"/>
      <c r="E1" s="178"/>
      <c r="F1" s="178"/>
      <c r="G1" s="178"/>
      <c r="H1" s="178"/>
      <c r="I1" s="178"/>
    </row>
    <row r="2" spans="1:12" ht="18" x14ac:dyDescent="0.25">
      <c r="A2" s="178" t="s">
        <v>123</v>
      </c>
      <c r="B2" s="178"/>
      <c r="C2" s="178"/>
      <c r="D2" s="178"/>
      <c r="E2" s="178"/>
      <c r="F2" s="178"/>
      <c r="G2" s="178"/>
      <c r="H2" s="178"/>
      <c r="I2" s="178"/>
    </row>
    <row r="3" spans="1:12" ht="18" x14ac:dyDescent="0.25">
      <c r="A3" s="179" t="s">
        <v>147</v>
      </c>
      <c r="B3" s="179"/>
      <c r="C3" s="179"/>
      <c r="D3" s="179"/>
      <c r="E3" s="179"/>
      <c r="F3" s="179"/>
      <c r="G3" s="179"/>
      <c r="H3" s="179"/>
      <c r="I3" s="179"/>
    </row>
    <row r="4" spans="1:12" ht="21" thickBot="1" x14ac:dyDescent="0.35">
      <c r="A4" s="9"/>
      <c r="B4" s="9"/>
      <c r="C4" s="24"/>
      <c r="D4" s="24"/>
      <c r="E4" s="24"/>
      <c r="F4" s="24"/>
      <c r="G4" s="22"/>
      <c r="H4" s="15"/>
      <c r="I4" s="39"/>
    </row>
    <row r="5" spans="1:12" ht="55.5" customHeight="1" thickTop="1" x14ac:dyDescent="0.25">
      <c r="A5" s="9"/>
      <c r="B5" s="32" t="s">
        <v>116</v>
      </c>
      <c r="C5" s="32" t="s">
        <v>116</v>
      </c>
      <c r="D5" s="32" t="s">
        <v>116</v>
      </c>
      <c r="E5" s="72" t="s">
        <v>124</v>
      </c>
      <c r="F5" s="73">
        <v>2024</v>
      </c>
      <c r="G5" s="53" t="s">
        <v>115</v>
      </c>
      <c r="H5" s="28"/>
      <c r="I5" s="197" t="s">
        <v>154</v>
      </c>
    </row>
    <row r="6" spans="1:12" ht="15.75" thickBot="1" x14ac:dyDescent="0.3">
      <c r="A6" s="1"/>
      <c r="B6" s="31">
        <v>2021</v>
      </c>
      <c r="C6" s="31">
        <v>2022</v>
      </c>
      <c r="D6" s="31">
        <v>2023</v>
      </c>
      <c r="E6" s="74" t="s">
        <v>153</v>
      </c>
      <c r="F6" s="75" t="s">
        <v>108</v>
      </c>
      <c r="G6" s="54" t="s">
        <v>125</v>
      </c>
      <c r="H6" s="29"/>
      <c r="I6" s="198"/>
    </row>
    <row r="7" spans="1:12" x14ac:dyDescent="0.25">
      <c r="A7" s="3" t="s">
        <v>0</v>
      </c>
      <c r="B7" s="3"/>
      <c r="C7" s="11"/>
      <c r="D7" s="11"/>
      <c r="E7" s="76"/>
      <c r="F7" s="76"/>
      <c r="G7" s="55"/>
      <c r="H7" s="3" t="s">
        <v>0</v>
      </c>
      <c r="I7" s="40"/>
    </row>
    <row r="8" spans="1:12" x14ac:dyDescent="0.25">
      <c r="A8" s="4" t="s">
        <v>10</v>
      </c>
      <c r="B8" s="4"/>
      <c r="C8" s="11"/>
      <c r="D8" s="11"/>
      <c r="E8" s="76"/>
      <c r="F8" s="76"/>
      <c r="G8" s="55"/>
      <c r="H8" s="4" t="s">
        <v>10</v>
      </c>
      <c r="I8" s="40"/>
      <c r="J8">
        <f>F11/(D11+D12)</f>
        <v>0.77149275598241918</v>
      </c>
    </row>
    <row r="9" spans="1:12" x14ac:dyDescent="0.25">
      <c r="A9" s="4" t="s">
        <v>150</v>
      </c>
      <c r="B9" s="4"/>
      <c r="C9" s="11"/>
      <c r="D9" s="11"/>
      <c r="E9" s="76"/>
      <c r="F9" s="76"/>
      <c r="G9" s="55"/>
      <c r="H9" s="4" t="s">
        <v>155</v>
      </c>
      <c r="I9" s="40">
        <v>1.05</v>
      </c>
      <c r="J9">
        <f>E11/(D11+D12)</f>
        <v>0.6429106299853492</v>
      </c>
    </row>
    <row r="10" spans="1:12" x14ac:dyDescent="0.25">
      <c r="A10" s="5" t="s">
        <v>12</v>
      </c>
      <c r="B10" s="11">
        <v>1700</v>
      </c>
      <c r="C10" s="11">
        <v>3200</v>
      </c>
      <c r="D10" s="11">
        <v>2750</v>
      </c>
      <c r="E10" s="76">
        <v>3790</v>
      </c>
      <c r="F10" s="76">
        <f>E10/10*12</f>
        <v>4548</v>
      </c>
      <c r="G10" s="56">
        <v>10250</v>
      </c>
      <c r="H10" s="5" t="s">
        <v>12</v>
      </c>
      <c r="I10" s="25">
        <f>55*K11</f>
        <v>4840</v>
      </c>
      <c r="K10">
        <v>0.8</v>
      </c>
    </row>
    <row r="11" spans="1:12" ht="24.6" customHeight="1" x14ac:dyDescent="0.25">
      <c r="A11" s="5" t="s">
        <v>11</v>
      </c>
      <c r="B11" s="11">
        <v>71367.08</v>
      </c>
      <c r="C11" s="11">
        <v>78646.25</v>
      </c>
      <c r="D11" s="11">
        <v>76870</v>
      </c>
      <c r="E11" s="76">
        <v>59241</v>
      </c>
      <c r="F11" s="76">
        <f t="shared" ref="F11:F12" si="0">E11/10*12</f>
        <v>71089.200000000012</v>
      </c>
      <c r="G11" s="56">
        <v>99500</v>
      </c>
      <c r="H11" s="5" t="s">
        <v>11</v>
      </c>
      <c r="I11" s="25">
        <f>((F11*$K$10)+(F12*$K$10))*I9</f>
        <v>82984.608000000022</v>
      </c>
      <c r="J11" s="30" t="s">
        <v>231</v>
      </c>
      <c r="K11">
        <v>88</v>
      </c>
      <c r="L11">
        <f>K11/12</f>
        <v>7.333333333333333</v>
      </c>
    </row>
    <row r="12" spans="1:12" ht="22.7" customHeight="1" x14ac:dyDescent="0.25">
      <c r="A12" s="5" t="s">
        <v>13</v>
      </c>
      <c r="B12" s="11">
        <v>9900</v>
      </c>
      <c r="C12" s="11">
        <v>15010</v>
      </c>
      <c r="D12" s="11">
        <v>15275</v>
      </c>
      <c r="E12" s="76">
        <v>23085</v>
      </c>
      <c r="F12" s="76">
        <f t="shared" si="0"/>
        <v>27702</v>
      </c>
      <c r="G12" s="56">
        <v>62012.5</v>
      </c>
      <c r="H12" s="5" t="s">
        <v>13</v>
      </c>
      <c r="I12" s="25">
        <f>(K11*K12)*I9</f>
        <v>32340</v>
      </c>
      <c r="J12" s="30" t="s">
        <v>232</v>
      </c>
      <c r="K12" s="2">
        <v>350</v>
      </c>
      <c r="L12" s="2">
        <f>E12/70</f>
        <v>329.78571428571428</v>
      </c>
    </row>
    <row r="13" spans="1:12" ht="14.45" customHeight="1" x14ac:dyDescent="0.25">
      <c r="A13" s="5" t="s">
        <v>130</v>
      </c>
      <c r="B13" s="12"/>
      <c r="C13" s="12"/>
      <c r="D13" s="12"/>
      <c r="E13" s="77">
        <v>0</v>
      </c>
      <c r="F13" s="78">
        <f>E13/9*12</f>
        <v>0</v>
      </c>
      <c r="G13" s="57">
        <v>-13007.25</v>
      </c>
      <c r="H13" s="51"/>
      <c r="I13" s="26"/>
      <c r="J13" s="30"/>
    </row>
    <row r="14" spans="1:12" x14ac:dyDescent="0.25">
      <c r="A14" s="91" t="s">
        <v>14</v>
      </c>
      <c r="B14" s="92">
        <f>SUM(B10:B12)</f>
        <v>82967.08</v>
      </c>
      <c r="C14" s="92">
        <f>SUM(C10:C12)</f>
        <v>96856.25</v>
      </c>
      <c r="D14" s="92">
        <f>SUM(D10:D12)</f>
        <v>94895</v>
      </c>
      <c r="E14" s="92">
        <f>SUM(E10:E13)</f>
        <v>86116</v>
      </c>
      <c r="F14" s="92">
        <f>SUM(F10:F13)</f>
        <v>103339.20000000001</v>
      </c>
      <c r="G14" s="93">
        <f>SUM(G10:G13)</f>
        <v>158755.25</v>
      </c>
      <c r="H14" s="91" t="s">
        <v>14</v>
      </c>
      <c r="I14" s="94">
        <f>SUM(I10:I12)</f>
        <v>120164.60800000002</v>
      </c>
    </row>
    <row r="15" spans="1:12" x14ac:dyDescent="0.25">
      <c r="A15" s="3" t="s">
        <v>15</v>
      </c>
      <c r="B15" s="11"/>
      <c r="C15" s="11"/>
      <c r="D15" s="11"/>
      <c r="E15" s="76"/>
      <c r="F15" s="76"/>
      <c r="G15" s="55"/>
      <c r="H15" s="3" t="s">
        <v>15</v>
      </c>
      <c r="I15" s="41"/>
    </row>
    <row r="16" spans="1:12" x14ac:dyDescent="0.25">
      <c r="A16" s="5" t="s">
        <v>16</v>
      </c>
      <c r="B16" s="11">
        <v>7100</v>
      </c>
      <c r="C16" s="11"/>
      <c r="D16" s="11">
        <v>10341.07</v>
      </c>
      <c r="E16" s="76">
        <v>25050</v>
      </c>
      <c r="F16" s="76">
        <f>+E16</f>
        <v>25050</v>
      </c>
      <c r="G16" s="56">
        <v>12000</v>
      </c>
      <c r="H16" s="5" t="s">
        <v>16</v>
      </c>
      <c r="I16" s="25">
        <v>15000</v>
      </c>
    </row>
    <row r="17" spans="1:11" x14ac:dyDescent="0.25">
      <c r="A17" s="5" t="s">
        <v>17</v>
      </c>
      <c r="B17" s="11">
        <v>1600</v>
      </c>
      <c r="C17" s="11"/>
      <c r="D17" s="11">
        <v>1750</v>
      </c>
      <c r="E17" s="76">
        <v>1400</v>
      </c>
      <c r="F17" s="76">
        <f>+E17</f>
        <v>1400</v>
      </c>
      <c r="G17" s="56">
        <v>1750</v>
      </c>
      <c r="H17" s="5" t="s">
        <v>17</v>
      </c>
      <c r="I17" s="25">
        <v>1750</v>
      </c>
    </row>
    <row r="18" spans="1:11" x14ac:dyDescent="0.25">
      <c r="A18" s="5" t="s">
        <v>18</v>
      </c>
      <c r="B18" s="12">
        <v>-5393.34</v>
      </c>
      <c r="C18" s="12"/>
      <c r="D18" s="12">
        <v>-10935.64</v>
      </c>
      <c r="E18" s="77">
        <v>-24795.919999999998</v>
      </c>
      <c r="F18" s="78">
        <f>+E18</f>
        <v>-24795.919999999998</v>
      </c>
      <c r="G18" s="58">
        <v>-10000</v>
      </c>
      <c r="H18" s="5" t="s">
        <v>18</v>
      </c>
      <c r="I18" s="42">
        <v>-15000</v>
      </c>
    </row>
    <row r="19" spans="1:11" x14ac:dyDescent="0.25">
      <c r="A19" s="6" t="s">
        <v>19</v>
      </c>
      <c r="B19" s="33">
        <f t="shared" ref="B19:F19" si="1">SUM(B16:B18)</f>
        <v>3306.66</v>
      </c>
      <c r="C19" s="33">
        <f t="shared" si="1"/>
        <v>0</v>
      </c>
      <c r="D19" s="33">
        <f t="shared" si="1"/>
        <v>1155.4300000000003</v>
      </c>
      <c r="E19" s="82">
        <f t="shared" si="1"/>
        <v>1654.0800000000017</v>
      </c>
      <c r="F19" s="82">
        <f t="shared" si="1"/>
        <v>1654.0800000000017</v>
      </c>
      <c r="G19" s="52">
        <f>SUM(G16:G18)</f>
        <v>3750</v>
      </c>
      <c r="H19" s="109" t="s">
        <v>19</v>
      </c>
      <c r="I19" s="110">
        <f>SUM(I16:I18)</f>
        <v>1750</v>
      </c>
    </row>
    <row r="20" spans="1:11" x14ac:dyDescent="0.25">
      <c r="A20" s="3"/>
      <c r="B20" s="11"/>
      <c r="C20" s="11"/>
      <c r="D20" s="11"/>
      <c r="E20" s="76"/>
      <c r="F20" s="76"/>
      <c r="G20" s="55"/>
      <c r="H20" s="3"/>
      <c r="I20" s="41"/>
    </row>
    <row r="21" spans="1:11" x14ac:dyDescent="0.25">
      <c r="A21" s="5" t="s">
        <v>117</v>
      </c>
      <c r="B21" s="11"/>
      <c r="C21" s="11"/>
      <c r="D21" s="11">
        <v>1750</v>
      </c>
      <c r="E21" s="76">
        <v>0</v>
      </c>
      <c r="F21" s="76">
        <f>E21/9*12</f>
        <v>0</v>
      </c>
      <c r="G21" s="56">
        <v>4000</v>
      </c>
      <c r="H21" s="5" t="s">
        <v>109</v>
      </c>
      <c r="I21" s="25">
        <v>2000</v>
      </c>
      <c r="J21" s="2"/>
    </row>
    <row r="22" spans="1:11" x14ac:dyDescent="0.25">
      <c r="A22" s="5" t="s">
        <v>118</v>
      </c>
      <c r="B22" s="11">
        <v>20625</v>
      </c>
      <c r="C22" s="11">
        <v>21820</v>
      </c>
      <c r="D22" s="11">
        <v>13883.33</v>
      </c>
      <c r="E22" s="76">
        <v>29571.22</v>
      </c>
      <c r="F22" s="76">
        <f>+E22</f>
        <v>29571.22</v>
      </c>
      <c r="G22" s="56">
        <v>14400</v>
      </c>
      <c r="H22" s="5" t="s">
        <v>110</v>
      </c>
      <c r="I22" s="25">
        <f>(160*175)*1.04</f>
        <v>29120</v>
      </c>
      <c r="J22" t="s">
        <v>151</v>
      </c>
    </row>
    <row r="23" spans="1:11" x14ac:dyDescent="0.25">
      <c r="A23" s="5" t="s">
        <v>119</v>
      </c>
      <c r="B23" s="12">
        <v>-9402.91</v>
      </c>
      <c r="C23" s="12">
        <v>-6282.1</v>
      </c>
      <c r="D23" s="12">
        <v>-2284.21</v>
      </c>
      <c r="E23" s="77">
        <v>-4751.7700000000004</v>
      </c>
      <c r="F23" s="78">
        <f>E23</f>
        <v>-4751.7700000000004</v>
      </c>
      <c r="G23" s="58">
        <v>-7103.98</v>
      </c>
      <c r="H23" s="5" t="s">
        <v>111</v>
      </c>
      <c r="I23" s="42">
        <f>E23+(-2000)</f>
        <v>-6751.77</v>
      </c>
      <c r="J23" t="s">
        <v>152</v>
      </c>
    </row>
    <row r="24" spans="1:11" x14ac:dyDescent="0.25">
      <c r="A24" s="6" t="s">
        <v>139</v>
      </c>
      <c r="B24" s="33">
        <f t="shared" ref="B24:F24" si="2">SUM(B21:B23)</f>
        <v>11222.09</v>
      </c>
      <c r="C24" s="33">
        <f t="shared" si="2"/>
        <v>15537.9</v>
      </c>
      <c r="D24" s="33">
        <f t="shared" si="2"/>
        <v>13349.119999999999</v>
      </c>
      <c r="E24" s="82">
        <f t="shared" si="2"/>
        <v>24819.45</v>
      </c>
      <c r="F24" s="82">
        <f t="shared" si="2"/>
        <v>24819.45</v>
      </c>
      <c r="G24" s="52">
        <f>SUM(G21:G23)</f>
        <v>11296.02</v>
      </c>
      <c r="H24" s="109" t="s">
        <v>139</v>
      </c>
      <c r="I24" s="110">
        <f>SUM(I21:I23)</f>
        <v>24368.23</v>
      </c>
    </row>
    <row r="25" spans="1:11" x14ac:dyDescent="0.25">
      <c r="A25" s="3"/>
      <c r="B25" s="11"/>
      <c r="C25" s="11"/>
      <c r="D25" s="11"/>
      <c r="E25" s="76"/>
      <c r="F25" s="76"/>
      <c r="G25" s="55"/>
      <c r="H25" s="3"/>
      <c r="I25" s="41"/>
      <c r="K25" t="s">
        <v>157</v>
      </c>
    </row>
    <row r="26" spans="1:11" x14ac:dyDescent="0.25">
      <c r="A26" s="5" t="s">
        <v>20</v>
      </c>
      <c r="B26" s="11">
        <v>500</v>
      </c>
      <c r="C26" s="11"/>
      <c r="D26" s="11"/>
      <c r="E26" s="76">
        <v>100</v>
      </c>
      <c r="F26" s="76">
        <f>E26</f>
        <v>100</v>
      </c>
      <c r="G26" s="56"/>
      <c r="H26" s="5" t="s">
        <v>20</v>
      </c>
      <c r="I26" s="25">
        <v>250</v>
      </c>
    </row>
    <row r="27" spans="1:11" x14ac:dyDescent="0.25">
      <c r="A27" s="5" t="s">
        <v>21</v>
      </c>
      <c r="B27" s="11">
        <v>415</v>
      </c>
      <c r="C27" s="11">
        <v>15</v>
      </c>
      <c r="D27" s="11">
        <v>1266</v>
      </c>
      <c r="E27" s="76">
        <v>1175</v>
      </c>
      <c r="F27" s="76">
        <f t="shared" ref="F27:F28" si="3">E27</f>
        <v>1175</v>
      </c>
      <c r="G27" s="56">
        <v>1200</v>
      </c>
      <c r="H27" s="5" t="s">
        <v>21</v>
      </c>
      <c r="I27" s="25">
        <v>1500</v>
      </c>
    </row>
    <row r="28" spans="1:11" x14ac:dyDescent="0.25">
      <c r="A28" s="5" t="s">
        <v>22</v>
      </c>
      <c r="B28" s="11">
        <v>-78</v>
      </c>
      <c r="C28" s="11"/>
      <c r="D28" s="11">
        <v>-1150.55</v>
      </c>
      <c r="E28" s="76">
        <v>-185.07</v>
      </c>
      <c r="F28" s="76">
        <f t="shared" si="3"/>
        <v>-185.07</v>
      </c>
      <c r="G28" s="59">
        <v>-1200</v>
      </c>
      <c r="H28" s="5" t="s">
        <v>22</v>
      </c>
      <c r="I28" s="43">
        <v>-500</v>
      </c>
    </row>
    <row r="29" spans="1:11" ht="19.350000000000001" customHeight="1" x14ac:dyDescent="0.25">
      <c r="A29" s="5" t="s">
        <v>77</v>
      </c>
      <c r="B29" s="11">
        <v>0</v>
      </c>
      <c r="C29" s="11">
        <v>650</v>
      </c>
      <c r="D29" s="11">
        <v>0</v>
      </c>
      <c r="E29" s="76"/>
      <c r="F29" s="76">
        <f t="shared" ref="F29:F31" si="4">E29/9*12</f>
        <v>0</v>
      </c>
      <c r="G29" s="55"/>
      <c r="H29" s="5" t="s">
        <v>77</v>
      </c>
      <c r="I29" s="44"/>
    </row>
    <row r="30" spans="1:11" ht="18" customHeight="1" x14ac:dyDescent="0.25">
      <c r="A30" s="5" t="s">
        <v>78</v>
      </c>
      <c r="B30" s="11">
        <v>0</v>
      </c>
      <c r="C30" s="11">
        <v>680</v>
      </c>
      <c r="D30" s="11">
        <v>43</v>
      </c>
      <c r="E30" s="76">
        <v>30</v>
      </c>
      <c r="F30" s="76">
        <f>E30</f>
        <v>30</v>
      </c>
      <c r="G30" s="55">
        <v>0</v>
      </c>
      <c r="H30" s="5" t="s">
        <v>78</v>
      </c>
      <c r="I30" s="44"/>
    </row>
    <row r="31" spans="1:11" x14ac:dyDescent="0.25">
      <c r="A31" s="5" t="s">
        <v>79</v>
      </c>
      <c r="B31" s="12">
        <v>0</v>
      </c>
      <c r="C31" s="12">
        <v>-756.54</v>
      </c>
      <c r="D31" s="12">
        <v>0</v>
      </c>
      <c r="E31" s="77"/>
      <c r="F31" s="78">
        <f t="shared" si="4"/>
        <v>0</v>
      </c>
      <c r="G31" s="60">
        <v>0</v>
      </c>
      <c r="H31" s="5" t="s">
        <v>79</v>
      </c>
      <c r="I31" s="45"/>
    </row>
    <row r="32" spans="1:11" x14ac:dyDescent="0.25">
      <c r="A32" s="6" t="s">
        <v>23</v>
      </c>
      <c r="B32" s="33">
        <f t="shared" ref="B32:G32" si="5">SUM(B26:B31)</f>
        <v>837</v>
      </c>
      <c r="C32" s="33">
        <f t="shared" si="5"/>
        <v>588.46</v>
      </c>
      <c r="D32" s="33">
        <f t="shared" si="5"/>
        <v>158.45000000000005</v>
      </c>
      <c r="E32" s="82">
        <f t="shared" si="5"/>
        <v>1119.93</v>
      </c>
      <c r="F32" s="82">
        <f t="shared" si="5"/>
        <v>1119.93</v>
      </c>
      <c r="G32" s="52">
        <f t="shared" si="5"/>
        <v>0</v>
      </c>
      <c r="H32" s="109" t="s">
        <v>23</v>
      </c>
      <c r="I32" s="110">
        <f>SUM(I26:I31)</f>
        <v>1250</v>
      </c>
    </row>
    <row r="33" spans="1:10" x14ac:dyDescent="0.25">
      <c r="A33" s="3"/>
      <c r="B33" s="11"/>
      <c r="C33" s="11"/>
      <c r="D33" s="11"/>
      <c r="E33" s="76"/>
      <c r="F33" s="76"/>
      <c r="G33" s="55"/>
      <c r="H33" s="3"/>
      <c r="I33" s="44"/>
    </row>
    <row r="34" spans="1:10" x14ac:dyDescent="0.25">
      <c r="A34" s="5" t="s">
        <v>24</v>
      </c>
      <c r="B34" s="11">
        <v>19150</v>
      </c>
      <c r="C34" s="11">
        <v>9800</v>
      </c>
      <c r="D34" s="11">
        <v>8951.98</v>
      </c>
      <c r="E34" s="76">
        <v>5725</v>
      </c>
      <c r="F34" s="76">
        <f>E34/9*12</f>
        <v>7633.333333333333</v>
      </c>
      <c r="G34" s="55">
        <v>5000</v>
      </c>
      <c r="H34" s="5" t="s">
        <v>112</v>
      </c>
      <c r="I34" s="44">
        <v>14100</v>
      </c>
    </row>
    <row r="35" spans="1:10" x14ac:dyDescent="0.25">
      <c r="A35" s="5" t="s">
        <v>25</v>
      </c>
      <c r="B35" s="11">
        <f>8000+950</f>
        <v>8950</v>
      </c>
      <c r="C35" s="11">
        <v>6039</v>
      </c>
      <c r="D35" s="11">
        <v>5825</v>
      </c>
      <c r="E35" s="76">
        <v>5350</v>
      </c>
      <c r="F35" s="76">
        <f>E35/9*12</f>
        <v>7133.3333333333339</v>
      </c>
      <c r="G35" s="55">
        <v>1600</v>
      </c>
      <c r="H35" s="5" t="s">
        <v>113</v>
      </c>
      <c r="I35" s="44">
        <f>E35+3375</f>
        <v>8725</v>
      </c>
    </row>
    <row r="36" spans="1:10" x14ac:dyDescent="0.25">
      <c r="A36" s="5" t="s">
        <v>26</v>
      </c>
      <c r="B36" s="12">
        <f>-(21821.96+474.43)</f>
        <v>-22296.39</v>
      </c>
      <c r="C36" s="12">
        <v>-25300.43</v>
      </c>
      <c r="D36" s="12">
        <v>-21043.38</v>
      </c>
      <c r="E36" s="77">
        <v>-6492.64</v>
      </c>
      <c r="F36" s="78">
        <f>E36/9*12</f>
        <v>-8656.8533333333344</v>
      </c>
      <c r="G36" s="60">
        <v>-20000</v>
      </c>
      <c r="H36" s="5" t="s">
        <v>94</v>
      </c>
      <c r="I36" s="45">
        <v>-25000</v>
      </c>
      <c r="J36" s="2"/>
    </row>
    <row r="37" spans="1:10" x14ac:dyDescent="0.25">
      <c r="A37" s="6" t="s">
        <v>27</v>
      </c>
      <c r="B37" s="36">
        <f t="shared" ref="B37:G37" si="6">SUM(B34:B36)</f>
        <v>5803.6100000000006</v>
      </c>
      <c r="C37" s="34">
        <f t="shared" si="6"/>
        <v>-9461.43</v>
      </c>
      <c r="D37" s="34">
        <f t="shared" si="6"/>
        <v>-6266.4000000000015</v>
      </c>
      <c r="E37" s="87">
        <f t="shared" si="6"/>
        <v>4582.3599999999997</v>
      </c>
      <c r="F37" s="87">
        <f t="shared" si="6"/>
        <v>6109.8133333333335</v>
      </c>
      <c r="G37" s="61">
        <f t="shared" si="6"/>
        <v>-13400</v>
      </c>
      <c r="H37" s="109" t="s">
        <v>114</v>
      </c>
      <c r="I37" s="111">
        <f>SUM(I34:I36)</f>
        <v>-2175</v>
      </c>
    </row>
    <row r="38" spans="1:10" x14ac:dyDescent="0.25">
      <c r="B38" s="11"/>
      <c r="C38" s="11"/>
      <c r="D38" s="11"/>
      <c r="E38" s="76"/>
      <c r="F38" s="76"/>
      <c r="G38" s="55"/>
      <c r="H38" s="3"/>
      <c r="I38" s="44"/>
    </row>
    <row r="39" spans="1:10" x14ac:dyDescent="0.25">
      <c r="A39" s="4" t="s">
        <v>97</v>
      </c>
      <c r="B39" s="11">
        <v>0</v>
      </c>
      <c r="C39" s="11">
        <v>-1687.34</v>
      </c>
      <c r="D39" s="11">
        <v>-856.85</v>
      </c>
      <c r="E39" s="76">
        <v>77</v>
      </c>
      <c r="F39" s="76">
        <f>E39/9*12</f>
        <v>102.66666666666666</v>
      </c>
      <c r="G39" s="55">
        <v>-1500</v>
      </c>
      <c r="H39" s="4" t="s">
        <v>97</v>
      </c>
      <c r="I39" s="44"/>
    </row>
    <row r="40" spans="1:10" x14ac:dyDescent="0.25">
      <c r="A40" s="4" t="s">
        <v>98</v>
      </c>
      <c r="B40" s="12">
        <v>250</v>
      </c>
      <c r="C40" s="12">
        <v>840</v>
      </c>
      <c r="D40" s="12">
        <v>680</v>
      </c>
      <c r="E40" s="77">
        <v>-104.89</v>
      </c>
      <c r="F40" s="78">
        <f>E40/9*12</f>
        <v>-139.85333333333332</v>
      </c>
      <c r="G40" s="60">
        <v>1500</v>
      </c>
      <c r="H40" s="4" t="s">
        <v>98</v>
      </c>
      <c r="I40" s="45">
        <v>-150</v>
      </c>
    </row>
    <row r="41" spans="1:10" x14ac:dyDescent="0.25">
      <c r="A41" s="6" t="s">
        <v>99</v>
      </c>
      <c r="B41" s="35">
        <f t="shared" ref="B41:G41" si="7">+B40+B39</f>
        <v>250</v>
      </c>
      <c r="C41" s="35">
        <f t="shared" si="7"/>
        <v>-847.33999999999992</v>
      </c>
      <c r="D41" s="35">
        <f t="shared" si="7"/>
        <v>-176.85000000000002</v>
      </c>
      <c r="E41" s="80">
        <f t="shared" si="7"/>
        <v>-27.89</v>
      </c>
      <c r="F41" s="80">
        <f t="shared" si="7"/>
        <v>-37.186666666666667</v>
      </c>
      <c r="G41" s="62">
        <f t="shared" si="7"/>
        <v>0</v>
      </c>
      <c r="H41" s="109" t="s">
        <v>99</v>
      </c>
      <c r="I41" s="112">
        <f>+I40+I39</f>
        <v>-150</v>
      </c>
    </row>
    <row r="42" spans="1:10" x14ac:dyDescent="0.25">
      <c r="A42" s="6"/>
      <c r="B42" s="35"/>
      <c r="C42" s="35"/>
      <c r="D42" s="35"/>
      <c r="E42" s="80"/>
      <c r="F42" s="76"/>
      <c r="G42" s="52"/>
      <c r="H42" s="6"/>
      <c r="I42" s="46"/>
    </row>
    <row r="43" spans="1:10" x14ac:dyDescent="0.25">
      <c r="A43" s="4" t="s">
        <v>120</v>
      </c>
      <c r="B43" s="35"/>
      <c r="C43" s="35"/>
      <c r="D43" s="11">
        <v>2150</v>
      </c>
      <c r="E43" s="76">
        <v>2757</v>
      </c>
      <c r="F43" s="76">
        <f>E43/10*12</f>
        <v>3308.3999999999996</v>
      </c>
      <c r="G43" s="55">
        <v>2400</v>
      </c>
      <c r="H43" s="4" t="s">
        <v>120</v>
      </c>
      <c r="I43" s="44">
        <f>250*12</f>
        <v>3000</v>
      </c>
      <c r="J43" t="s">
        <v>143</v>
      </c>
    </row>
    <row r="44" spans="1:10" x14ac:dyDescent="0.25">
      <c r="A44" s="4" t="s">
        <v>100</v>
      </c>
      <c r="B44" s="12">
        <v>0</v>
      </c>
      <c r="C44" s="12">
        <v>-1039.56</v>
      </c>
      <c r="D44" s="12">
        <v>-1220.82</v>
      </c>
      <c r="E44" s="77">
        <v>-1137.49</v>
      </c>
      <c r="F44" s="78">
        <f>E44/10*12</f>
        <v>-1364.9879999999998</v>
      </c>
      <c r="G44" s="60">
        <v>-600</v>
      </c>
      <c r="H44" s="4" t="s">
        <v>100</v>
      </c>
      <c r="I44" s="44">
        <v>-1200</v>
      </c>
    </row>
    <row r="45" spans="1:10" x14ac:dyDescent="0.25">
      <c r="A45" s="6" t="s">
        <v>121</v>
      </c>
      <c r="B45" s="35">
        <f t="shared" ref="B45:G45" si="8">SUM(B43:B44)</f>
        <v>0</v>
      </c>
      <c r="C45" s="35">
        <f t="shared" si="8"/>
        <v>-1039.56</v>
      </c>
      <c r="D45" s="35">
        <f t="shared" si="8"/>
        <v>929.18000000000006</v>
      </c>
      <c r="E45" s="80">
        <f t="shared" si="8"/>
        <v>1619.51</v>
      </c>
      <c r="F45" s="80">
        <f t="shared" si="8"/>
        <v>1943.4119999999998</v>
      </c>
      <c r="G45" s="63">
        <f t="shared" si="8"/>
        <v>1800</v>
      </c>
      <c r="H45" s="109" t="s">
        <v>121</v>
      </c>
      <c r="I45" s="113">
        <f>SUM(I43:I44)</f>
        <v>1800</v>
      </c>
    </row>
    <row r="46" spans="1:10" x14ac:dyDescent="0.25">
      <c r="A46" s="4"/>
      <c r="B46" s="35"/>
      <c r="C46" s="35"/>
      <c r="D46" s="35"/>
      <c r="E46" s="80"/>
      <c r="F46" s="76"/>
      <c r="G46" s="52"/>
      <c r="H46" s="4"/>
      <c r="I46" s="46"/>
    </row>
    <row r="47" spans="1:10" ht="29.25" x14ac:dyDescent="0.25">
      <c r="A47" s="4" t="s">
        <v>126</v>
      </c>
      <c r="B47" s="11">
        <v>0</v>
      </c>
      <c r="C47" s="11">
        <v>30</v>
      </c>
      <c r="D47" s="11">
        <v>0</v>
      </c>
      <c r="E47" s="76">
        <v>0</v>
      </c>
      <c r="F47" s="76">
        <f>E47/9*12</f>
        <v>0</v>
      </c>
      <c r="G47" s="55"/>
      <c r="H47" s="4" t="s">
        <v>131</v>
      </c>
      <c r="I47" s="44"/>
    </row>
    <row r="48" spans="1:10" ht="29.25" x14ac:dyDescent="0.25">
      <c r="A48" s="4" t="s">
        <v>127</v>
      </c>
      <c r="B48" s="11">
        <v>0</v>
      </c>
      <c r="C48" s="11">
        <v>10</v>
      </c>
      <c r="D48" s="11">
        <v>0</v>
      </c>
      <c r="E48" s="76">
        <v>0</v>
      </c>
      <c r="F48" s="76">
        <f>E48/9*12</f>
        <v>0</v>
      </c>
      <c r="G48" s="55"/>
      <c r="H48" s="4" t="s">
        <v>132</v>
      </c>
      <c r="I48" s="44"/>
    </row>
    <row r="49" spans="1:10" x14ac:dyDescent="0.25">
      <c r="A49" s="4" t="s">
        <v>128</v>
      </c>
      <c r="B49" s="12">
        <v>0</v>
      </c>
      <c r="C49" s="12">
        <f>-151.45</f>
        <v>-151.44999999999999</v>
      </c>
      <c r="D49" s="12">
        <v>-431.39</v>
      </c>
      <c r="E49" s="77">
        <v>-181.43</v>
      </c>
      <c r="F49" s="78">
        <f>E49/10*12</f>
        <v>-217.71600000000001</v>
      </c>
      <c r="G49" s="60"/>
      <c r="H49" s="4" t="s">
        <v>133</v>
      </c>
      <c r="I49" s="45">
        <v>-200</v>
      </c>
    </row>
    <row r="50" spans="1:10" x14ac:dyDescent="0.25">
      <c r="A50" s="6" t="s">
        <v>101</v>
      </c>
      <c r="B50" s="35">
        <f t="shared" ref="B50:G50" si="9">SUM(B47:B49)</f>
        <v>0</v>
      </c>
      <c r="C50" s="35">
        <f t="shared" si="9"/>
        <v>-111.44999999999999</v>
      </c>
      <c r="D50" s="35">
        <f t="shared" si="9"/>
        <v>-431.39</v>
      </c>
      <c r="E50" s="80">
        <f t="shared" si="9"/>
        <v>-181.43</v>
      </c>
      <c r="F50" s="80">
        <f t="shared" si="9"/>
        <v>-217.71600000000001</v>
      </c>
      <c r="G50" s="52">
        <f t="shared" si="9"/>
        <v>0</v>
      </c>
      <c r="H50" s="109" t="s">
        <v>101</v>
      </c>
      <c r="I50" s="113">
        <f>SUM(I47:I49)</f>
        <v>-200</v>
      </c>
    </row>
    <row r="51" spans="1:10" x14ac:dyDescent="0.25">
      <c r="A51" s="6"/>
      <c r="B51" s="35"/>
      <c r="C51" s="35"/>
      <c r="D51" s="35"/>
      <c r="E51" s="80"/>
      <c r="F51" s="76"/>
      <c r="G51" s="52"/>
      <c r="H51" s="6"/>
      <c r="I51" s="46"/>
    </row>
    <row r="52" spans="1:10" x14ac:dyDescent="0.25">
      <c r="A52" s="4" t="s">
        <v>102</v>
      </c>
      <c r="B52" s="11">
        <v>0</v>
      </c>
      <c r="C52" s="11">
        <v>950</v>
      </c>
      <c r="D52" s="11">
        <v>0</v>
      </c>
      <c r="E52" s="76">
        <v>0</v>
      </c>
      <c r="F52" s="76">
        <f>E52/9*12</f>
        <v>0</v>
      </c>
      <c r="G52" s="55">
        <v>0</v>
      </c>
      <c r="H52" s="4" t="s">
        <v>102</v>
      </c>
      <c r="I52" s="44">
        <v>0</v>
      </c>
    </row>
    <row r="53" spans="1:10" x14ac:dyDescent="0.25">
      <c r="A53" s="4" t="s">
        <v>103</v>
      </c>
      <c r="B53" s="11">
        <v>0</v>
      </c>
      <c r="C53" s="11">
        <v>820</v>
      </c>
      <c r="D53" s="11">
        <v>0</v>
      </c>
      <c r="E53" s="76">
        <v>0</v>
      </c>
      <c r="F53" s="76">
        <f>E53/9*12</f>
        <v>0</v>
      </c>
      <c r="G53" s="55">
        <v>0</v>
      </c>
      <c r="H53" s="4" t="s">
        <v>103</v>
      </c>
      <c r="I53" s="44">
        <v>0</v>
      </c>
    </row>
    <row r="54" spans="1:10" x14ac:dyDescent="0.25">
      <c r="A54" s="4" t="s">
        <v>104</v>
      </c>
      <c r="B54" s="12">
        <v>0</v>
      </c>
      <c r="C54" s="12">
        <v>-769.91</v>
      </c>
      <c r="D54" s="12">
        <v>0</v>
      </c>
      <c r="E54" s="77">
        <v>0</v>
      </c>
      <c r="F54" s="78">
        <f>E54/9*12</f>
        <v>0</v>
      </c>
      <c r="G54" s="60">
        <v>0</v>
      </c>
      <c r="H54" s="4" t="s">
        <v>104</v>
      </c>
      <c r="I54" s="45">
        <v>0</v>
      </c>
    </row>
    <row r="55" spans="1:10" x14ac:dyDescent="0.25">
      <c r="A55" s="6" t="s">
        <v>105</v>
      </c>
      <c r="B55" s="14">
        <f t="shared" ref="B55:G55" si="10">SUM(B52:B54)</f>
        <v>0</v>
      </c>
      <c r="C55" s="14">
        <f t="shared" si="10"/>
        <v>1000.09</v>
      </c>
      <c r="D55" s="14">
        <f t="shared" si="10"/>
        <v>0</v>
      </c>
      <c r="E55" s="81">
        <f t="shared" si="10"/>
        <v>0</v>
      </c>
      <c r="F55" s="81">
        <f t="shared" si="10"/>
        <v>0</v>
      </c>
      <c r="G55" s="52">
        <f t="shared" si="10"/>
        <v>0</v>
      </c>
      <c r="H55" s="6" t="s">
        <v>105</v>
      </c>
      <c r="I55" s="46">
        <f>SUM(I52:I54)</f>
        <v>0</v>
      </c>
    </row>
    <row r="56" spans="1:10" x14ac:dyDescent="0.25">
      <c r="A56" s="95" t="s">
        <v>28</v>
      </c>
      <c r="B56" s="96">
        <f>(((((B15)+(B19))+(B24))+(B32))+(B37))++B41+B44+B50+B55</f>
        <v>21419.360000000001</v>
      </c>
      <c r="C56" s="96">
        <f>(((((C15)+(C19))+(C24))+(C32))+(C37))++C41+C44+C50+C55</f>
        <v>5666.670000000001</v>
      </c>
      <c r="D56" s="96">
        <f>(((((D15)+(D19))+(D24))+(D32))+(D37))++D41+D45+D50+D55</f>
        <v>8717.5399999999991</v>
      </c>
      <c r="E56" s="96">
        <f>(((((E15)+(E19))+(E24))+(E32))+(E37))++E41+E45+E50+E55</f>
        <v>33586.01</v>
      </c>
      <c r="F56" s="96">
        <f>(((((F15)+(F19))+(F24))+(F32))+(F37))++F41+F45+F50+F55</f>
        <v>35391.782666666666</v>
      </c>
      <c r="G56" s="97">
        <f>(((((G15)+(G19))+(G24))+(G32))+(G37))+G41+G45+G50+G55</f>
        <v>3446.0200000000004</v>
      </c>
      <c r="H56" s="95" t="s">
        <v>28</v>
      </c>
      <c r="I56" s="98">
        <f>I19+I24+I32+I37+I41+I45+I50</f>
        <v>26643.23</v>
      </c>
    </row>
    <row r="57" spans="1:10" x14ac:dyDescent="0.25">
      <c r="A57" s="3"/>
      <c r="B57" s="11"/>
      <c r="C57" s="11"/>
      <c r="D57" s="11"/>
      <c r="E57" s="76"/>
      <c r="F57" s="76"/>
      <c r="G57" s="55"/>
      <c r="H57" s="3"/>
      <c r="I57" s="44"/>
    </row>
    <row r="58" spans="1:10" x14ac:dyDescent="0.25">
      <c r="A58" s="3" t="s">
        <v>29</v>
      </c>
      <c r="B58" s="11"/>
      <c r="C58" s="11"/>
      <c r="D58" s="11"/>
      <c r="E58" s="76"/>
      <c r="F58" s="76"/>
      <c r="G58" s="55"/>
      <c r="H58" s="3" t="s">
        <v>29</v>
      </c>
      <c r="I58" s="44"/>
    </row>
    <row r="59" spans="1:10" x14ac:dyDescent="0.25">
      <c r="A59" s="5" t="s">
        <v>75</v>
      </c>
      <c r="B59" s="11">
        <v>0</v>
      </c>
      <c r="C59" s="11">
        <v>75</v>
      </c>
      <c r="D59" s="11">
        <v>0</v>
      </c>
      <c r="E59" s="76"/>
      <c r="F59" s="76">
        <f t="shared" ref="F59:F64" si="11">E59/9*12</f>
        <v>0</v>
      </c>
      <c r="G59" s="55">
        <v>0</v>
      </c>
      <c r="H59" s="5" t="s">
        <v>75</v>
      </c>
      <c r="I59" s="44">
        <v>0</v>
      </c>
    </row>
    <row r="60" spans="1:10" ht="17.25" customHeight="1" x14ac:dyDescent="0.25">
      <c r="A60" s="5" t="s">
        <v>30</v>
      </c>
      <c r="B60" s="11">
        <v>25500</v>
      </c>
      <c r="C60" s="11">
        <v>42195</v>
      </c>
      <c r="D60" s="11">
        <v>18500</v>
      </c>
      <c r="E60" s="76">
        <v>18313</v>
      </c>
      <c r="F60" s="76">
        <f>E60/10*12</f>
        <v>21975.599999999999</v>
      </c>
      <c r="G60" s="55">
        <v>56695.76</v>
      </c>
      <c r="H60" s="5" t="s">
        <v>158</v>
      </c>
      <c r="I60" s="44">
        <f>(5*5000)+(3*5000)+(5*3500)</f>
        <v>57500</v>
      </c>
      <c r="J60" t="s">
        <v>230</v>
      </c>
    </row>
    <row r="61" spans="1:10" ht="17.25" customHeight="1" x14ac:dyDescent="0.25">
      <c r="A61" s="120" t="s">
        <v>156</v>
      </c>
      <c r="B61" s="11"/>
      <c r="C61" s="11"/>
      <c r="D61" s="11"/>
      <c r="E61" s="76">
        <v>-1050</v>
      </c>
      <c r="F61" s="76"/>
      <c r="G61" s="55"/>
      <c r="H61" s="5"/>
      <c r="I61" s="44"/>
    </row>
    <row r="62" spans="1:10" ht="17.45" customHeight="1" x14ac:dyDescent="0.25">
      <c r="A62" s="5" t="s">
        <v>106</v>
      </c>
      <c r="B62" s="11">
        <v>0</v>
      </c>
      <c r="C62" s="11">
        <v>3315</v>
      </c>
      <c r="D62" s="11">
        <v>1710</v>
      </c>
      <c r="E62" s="76">
        <v>925</v>
      </c>
      <c r="F62" s="76">
        <f>E62/10*12</f>
        <v>1110</v>
      </c>
      <c r="G62" s="55">
        <v>4800</v>
      </c>
      <c r="H62" s="5" t="s">
        <v>160</v>
      </c>
      <c r="I62" s="44">
        <v>1000</v>
      </c>
    </row>
    <row r="63" spans="1:10" ht="17.45" customHeight="1" x14ac:dyDescent="0.25">
      <c r="A63" s="5" t="s">
        <v>134</v>
      </c>
      <c r="B63" s="11"/>
      <c r="C63" s="11"/>
      <c r="D63" s="11"/>
      <c r="E63" s="76">
        <v>0</v>
      </c>
      <c r="F63" s="76">
        <f t="shared" si="11"/>
        <v>0</v>
      </c>
      <c r="G63" s="55">
        <v>2300</v>
      </c>
      <c r="H63" s="5" t="s">
        <v>134</v>
      </c>
      <c r="I63" s="44">
        <v>0</v>
      </c>
    </row>
    <row r="64" spans="1:10" ht="17.45" customHeight="1" x14ac:dyDescent="0.25">
      <c r="A64" s="5" t="s">
        <v>135</v>
      </c>
      <c r="B64" s="11"/>
      <c r="C64" s="11"/>
      <c r="D64" s="11"/>
      <c r="E64" s="76">
        <v>0</v>
      </c>
      <c r="F64" s="76">
        <f t="shared" si="11"/>
        <v>0</v>
      </c>
      <c r="G64" s="55">
        <v>-575</v>
      </c>
      <c r="H64" s="5" t="s">
        <v>135</v>
      </c>
      <c r="I64" s="44">
        <v>0</v>
      </c>
    </row>
    <row r="65" spans="1:9" x14ac:dyDescent="0.25">
      <c r="A65" s="5" t="s">
        <v>80</v>
      </c>
      <c r="B65" s="12">
        <v>9317.52</v>
      </c>
      <c r="C65" s="12">
        <v>9317.52</v>
      </c>
      <c r="D65" s="12">
        <v>9317.52</v>
      </c>
      <c r="E65" s="77">
        <v>7764.6</v>
      </c>
      <c r="F65" s="78">
        <f>E65/10*12</f>
        <v>9317.52</v>
      </c>
      <c r="G65" s="60">
        <v>9317.52</v>
      </c>
      <c r="H65" s="27" t="s">
        <v>80</v>
      </c>
      <c r="I65" s="45">
        <v>9317.52</v>
      </c>
    </row>
    <row r="66" spans="1:9" x14ac:dyDescent="0.25">
      <c r="A66" s="91" t="s">
        <v>31</v>
      </c>
      <c r="B66" s="92">
        <f t="shared" ref="B66:G66" si="12">SUM(B59:B65)</f>
        <v>34817.520000000004</v>
      </c>
      <c r="C66" s="92">
        <f t="shared" si="12"/>
        <v>54902.520000000004</v>
      </c>
      <c r="D66" s="92">
        <f t="shared" si="12"/>
        <v>29527.52</v>
      </c>
      <c r="E66" s="92">
        <f>SUM(E59:E65)</f>
        <v>25952.6</v>
      </c>
      <c r="F66" s="92">
        <f t="shared" si="12"/>
        <v>32403.119999999999</v>
      </c>
      <c r="G66" s="93">
        <f t="shared" si="12"/>
        <v>72538.28</v>
      </c>
      <c r="H66" s="91" t="s">
        <v>31</v>
      </c>
      <c r="I66" s="94">
        <f>SUM(I59:I65)</f>
        <v>67817.52</v>
      </c>
    </row>
    <row r="67" spans="1:9" x14ac:dyDescent="0.25">
      <c r="A67" s="3" t="s">
        <v>32</v>
      </c>
      <c r="B67" s="11"/>
      <c r="C67" s="11"/>
      <c r="D67" s="11"/>
      <c r="E67" s="76"/>
      <c r="F67" s="76"/>
      <c r="G67" s="55"/>
      <c r="H67" s="3" t="s">
        <v>32</v>
      </c>
      <c r="I67" s="44"/>
    </row>
    <row r="68" spans="1:9" x14ac:dyDescent="0.25">
      <c r="A68" s="5" t="s">
        <v>33</v>
      </c>
      <c r="B68" s="11">
        <v>22950</v>
      </c>
      <c r="C68" s="11"/>
      <c r="D68" s="11">
        <v>4424</v>
      </c>
      <c r="E68" s="76"/>
      <c r="F68" s="76">
        <f>E68/9*12</f>
        <v>0</v>
      </c>
      <c r="G68" s="56">
        <v>7300</v>
      </c>
      <c r="H68" s="5" t="s">
        <v>33</v>
      </c>
      <c r="I68" s="25">
        <v>7500</v>
      </c>
    </row>
    <row r="69" spans="1:9" ht="14.45" customHeight="1" x14ac:dyDescent="0.25">
      <c r="A69" s="5" t="s">
        <v>34</v>
      </c>
      <c r="B69" s="11">
        <v>-14706</v>
      </c>
      <c r="C69" s="11"/>
      <c r="D69" s="11">
        <v>-625</v>
      </c>
      <c r="E69" s="76"/>
      <c r="F69" s="76">
        <f>E69/9*12</f>
        <v>0</v>
      </c>
      <c r="G69" s="59">
        <v>-750</v>
      </c>
      <c r="H69" s="5" t="s">
        <v>34</v>
      </c>
      <c r="I69" s="43">
        <v>0</v>
      </c>
    </row>
    <row r="70" spans="1:9" ht="14.45" customHeight="1" x14ac:dyDescent="0.25">
      <c r="A70" s="5" t="s">
        <v>136</v>
      </c>
      <c r="B70" s="11"/>
      <c r="C70" s="11"/>
      <c r="D70" s="11"/>
      <c r="E70" s="76">
        <v>100</v>
      </c>
      <c r="F70" s="76">
        <f>E70</f>
        <v>100</v>
      </c>
      <c r="G70" s="64">
        <v>5250</v>
      </c>
      <c r="H70" s="5" t="s">
        <v>136</v>
      </c>
      <c r="I70" s="43"/>
    </row>
    <row r="71" spans="1:9" ht="14.45" customHeight="1" x14ac:dyDescent="0.25">
      <c r="A71" s="5" t="s">
        <v>137</v>
      </c>
      <c r="B71" s="12"/>
      <c r="C71" s="12"/>
      <c r="D71" s="12"/>
      <c r="E71" s="77"/>
      <c r="F71" s="78">
        <f>E71/9*12</f>
        <v>0</v>
      </c>
      <c r="G71" s="58">
        <v>-525</v>
      </c>
      <c r="H71" s="5" t="s">
        <v>137</v>
      </c>
      <c r="I71" s="42"/>
    </row>
    <row r="72" spans="1:9" x14ac:dyDescent="0.25">
      <c r="A72" s="91" t="s">
        <v>35</v>
      </c>
      <c r="B72" s="92">
        <f>SUM(B68:B69)</f>
        <v>8244</v>
      </c>
      <c r="C72" s="92">
        <f>SUM(C68:C69)</f>
        <v>0</v>
      </c>
      <c r="D72" s="92">
        <f>SUM(D68:D69)</f>
        <v>3799</v>
      </c>
      <c r="E72" s="99">
        <f>SUM(E68:E71)</f>
        <v>100</v>
      </c>
      <c r="F72" s="99">
        <f>SUM(F68:F71)</f>
        <v>100</v>
      </c>
      <c r="G72" s="93">
        <f>SUM(G68:G71)</f>
        <v>11275</v>
      </c>
      <c r="H72" s="91" t="s">
        <v>35</v>
      </c>
      <c r="I72" s="93">
        <f>SUM(I68:I71)</f>
        <v>7500</v>
      </c>
    </row>
    <row r="73" spans="1:9" x14ac:dyDescent="0.25">
      <c r="A73" s="6"/>
      <c r="B73" s="11"/>
      <c r="C73" s="11"/>
      <c r="D73" s="11"/>
      <c r="E73" s="76"/>
      <c r="F73" s="76"/>
      <c r="G73" s="55"/>
      <c r="H73" s="6"/>
      <c r="I73" s="44"/>
    </row>
    <row r="74" spans="1:9" x14ac:dyDescent="0.25">
      <c r="A74" s="3" t="s">
        <v>36</v>
      </c>
      <c r="B74" s="11"/>
      <c r="C74" s="11"/>
      <c r="D74" s="11"/>
      <c r="E74" s="76"/>
      <c r="F74" s="76"/>
      <c r="G74" s="55"/>
      <c r="H74" s="3" t="s">
        <v>36</v>
      </c>
      <c r="I74" s="44"/>
    </row>
    <row r="75" spans="1:9" x14ac:dyDescent="0.25">
      <c r="A75" s="5" t="s">
        <v>37</v>
      </c>
      <c r="B75" s="11">
        <v>0</v>
      </c>
      <c r="C75" s="11">
        <v>1900</v>
      </c>
      <c r="D75" s="11">
        <v>0</v>
      </c>
      <c r="E75" s="76">
        <v>1575</v>
      </c>
      <c r="F75" s="76">
        <f>E75/10*12</f>
        <v>1890</v>
      </c>
      <c r="G75" s="55">
        <v>0</v>
      </c>
      <c r="H75" s="5" t="s">
        <v>37</v>
      </c>
      <c r="I75" s="44">
        <v>2000</v>
      </c>
    </row>
    <row r="76" spans="1:9" x14ac:dyDescent="0.25">
      <c r="A76" s="5" t="s">
        <v>38</v>
      </c>
      <c r="B76" s="11">
        <v>0</v>
      </c>
      <c r="C76" s="11">
        <v>467</v>
      </c>
      <c r="D76" s="11">
        <v>0</v>
      </c>
      <c r="E76" s="76">
        <v>975</v>
      </c>
      <c r="F76" s="76">
        <f>E76/10*12</f>
        <v>1170</v>
      </c>
      <c r="G76" s="55">
        <v>0</v>
      </c>
      <c r="H76" s="5" t="s">
        <v>38</v>
      </c>
      <c r="I76" s="44">
        <v>1000</v>
      </c>
    </row>
    <row r="77" spans="1:9" x14ac:dyDescent="0.25">
      <c r="A77" s="5" t="s">
        <v>39</v>
      </c>
      <c r="B77" s="12">
        <v>0</v>
      </c>
      <c r="C77" s="12">
        <v>-1814.93</v>
      </c>
      <c r="D77" s="12">
        <v>-176.62</v>
      </c>
      <c r="E77" s="77">
        <v>-1005.62</v>
      </c>
      <c r="F77" s="78">
        <f>E77/10*12</f>
        <v>-1206.7439999999999</v>
      </c>
      <c r="G77" s="60">
        <v>0</v>
      </c>
      <c r="H77" s="5" t="s">
        <v>39</v>
      </c>
      <c r="I77" s="45">
        <v>-1200</v>
      </c>
    </row>
    <row r="78" spans="1:9" x14ac:dyDescent="0.25">
      <c r="A78" s="6" t="s">
        <v>40</v>
      </c>
      <c r="B78" s="36">
        <f t="shared" ref="B78:F78" si="13">SUM(B75:B77)</f>
        <v>0</v>
      </c>
      <c r="C78" s="36">
        <f t="shared" si="13"/>
        <v>552.06999999999994</v>
      </c>
      <c r="D78" s="34">
        <f t="shared" si="13"/>
        <v>-176.62</v>
      </c>
      <c r="E78" s="87">
        <f t="shared" si="13"/>
        <v>1544.38</v>
      </c>
      <c r="F78" s="87">
        <f t="shared" si="13"/>
        <v>1853.2560000000001</v>
      </c>
      <c r="G78" s="65">
        <f>SUM(G75:G77)</f>
        <v>0</v>
      </c>
      <c r="H78" s="109" t="s">
        <v>40</v>
      </c>
      <c r="I78" s="114">
        <f>SUM(I75:I77)</f>
        <v>1800</v>
      </c>
    </row>
    <row r="79" spans="1:9" x14ac:dyDescent="0.25">
      <c r="A79" s="3"/>
      <c r="B79" s="11"/>
      <c r="C79" s="11"/>
      <c r="D79" s="11"/>
      <c r="E79" s="76"/>
      <c r="F79" s="76"/>
      <c r="G79" s="55"/>
      <c r="H79" s="3"/>
      <c r="I79" s="44"/>
    </row>
    <row r="80" spans="1:9" x14ac:dyDescent="0.25">
      <c r="A80" s="5" t="s">
        <v>41</v>
      </c>
      <c r="B80" s="11">
        <v>0</v>
      </c>
      <c r="C80" s="11">
        <v>4595</v>
      </c>
      <c r="D80" s="11">
        <v>6150</v>
      </c>
      <c r="E80" s="76">
        <v>5275</v>
      </c>
      <c r="F80" s="76">
        <f>E80/10*12</f>
        <v>6330</v>
      </c>
      <c r="G80" s="55">
        <v>7000</v>
      </c>
      <c r="H80" s="5" t="s">
        <v>41</v>
      </c>
      <c r="I80" s="44">
        <v>8200</v>
      </c>
    </row>
    <row r="81" spans="1:9" x14ac:dyDescent="0.25">
      <c r="A81" s="5" t="s">
        <v>42</v>
      </c>
      <c r="B81" s="11">
        <v>8800</v>
      </c>
      <c r="C81" s="11">
        <v>12900</v>
      </c>
      <c r="D81" s="11">
        <v>10725</v>
      </c>
      <c r="E81" s="76">
        <v>10050</v>
      </c>
      <c r="F81" s="76">
        <f>E81/10*12</f>
        <v>12060</v>
      </c>
      <c r="G81" s="55">
        <v>13500</v>
      </c>
      <c r="H81" s="5" t="s">
        <v>42</v>
      </c>
      <c r="I81" s="44">
        <v>12150</v>
      </c>
    </row>
    <row r="82" spans="1:9" x14ac:dyDescent="0.25">
      <c r="A82" s="5" t="s">
        <v>43</v>
      </c>
      <c r="B82" s="12">
        <v>-3445</v>
      </c>
      <c r="C82" s="12">
        <v>-10775.39</v>
      </c>
      <c r="D82" s="12">
        <v>-11910.86</v>
      </c>
      <c r="E82" s="77">
        <v>-8984.32</v>
      </c>
      <c r="F82" s="78">
        <f>E82/10*12</f>
        <v>-10781.184000000001</v>
      </c>
      <c r="G82" s="60">
        <v>-10600</v>
      </c>
      <c r="H82" s="5" t="s">
        <v>43</v>
      </c>
      <c r="I82" s="45">
        <v>-15000</v>
      </c>
    </row>
    <row r="83" spans="1:9" x14ac:dyDescent="0.25">
      <c r="A83" s="6" t="s">
        <v>44</v>
      </c>
      <c r="B83" s="33">
        <f t="shared" ref="B83:F83" si="14">SUM(B80:B82)</f>
        <v>5355</v>
      </c>
      <c r="C83" s="33">
        <f t="shared" si="14"/>
        <v>6719.6100000000006</v>
      </c>
      <c r="D83" s="33">
        <f t="shared" si="14"/>
        <v>4964.1399999999994</v>
      </c>
      <c r="E83" s="82">
        <f t="shared" si="14"/>
        <v>6340.68</v>
      </c>
      <c r="F83" s="82">
        <f t="shared" si="14"/>
        <v>7608.8159999999989</v>
      </c>
      <c r="G83" s="52">
        <f>SUM(G80:G82)</f>
        <v>9900</v>
      </c>
      <c r="H83" s="109" t="s">
        <v>44</v>
      </c>
      <c r="I83" s="110">
        <f>SUM(I80:I82)</f>
        <v>5350</v>
      </c>
    </row>
    <row r="84" spans="1:9" x14ac:dyDescent="0.25">
      <c r="A84" s="3"/>
      <c r="B84" s="11"/>
      <c r="C84" s="11"/>
      <c r="D84" s="11"/>
      <c r="E84" s="76"/>
      <c r="F84" s="76"/>
      <c r="G84" s="55"/>
      <c r="H84" s="3"/>
      <c r="I84" s="44"/>
    </row>
    <row r="85" spans="1:9" x14ac:dyDescent="0.25">
      <c r="A85" s="5" t="s">
        <v>71</v>
      </c>
      <c r="B85" s="11"/>
      <c r="C85" s="11"/>
      <c r="D85" s="11"/>
      <c r="E85" s="76"/>
      <c r="F85" s="76"/>
      <c r="G85" s="56">
        <v>0</v>
      </c>
      <c r="H85" s="5" t="s">
        <v>71</v>
      </c>
      <c r="I85" s="25">
        <v>1000</v>
      </c>
    </row>
    <row r="86" spans="1:9" ht="15" customHeight="1" x14ac:dyDescent="0.25">
      <c r="A86" s="5" t="s">
        <v>45</v>
      </c>
      <c r="B86" s="11">
        <f>6505+20</f>
        <v>6525</v>
      </c>
      <c r="C86" s="11"/>
      <c r="D86" s="11">
        <v>2245</v>
      </c>
      <c r="E86" s="76">
        <v>3775</v>
      </c>
      <c r="F86" s="76">
        <f>E86/10*12</f>
        <v>4530</v>
      </c>
      <c r="G86" s="56">
        <v>1000</v>
      </c>
      <c r="H86" s="5" t="s">
        <v>45</v>
      </c>
      <c r="I86" s="25">
        <v>4500</v>
      </c>
    </row>
    <row r="87" spans="1:9" x14ac:dyDescent="0.25">
      <c r="A87" s="5" t="s">
        <v>46</v>
      </c>
      <c r="B87" s="12">
        <v>-6322.1</v>
      </c>
      <c r="C87" s="12"/>
      <c r="D87" s="12">
        <v>-1336.06</v>
      </c>
      <c r="E87" s="77">
        <v>-3920.08</v>
      </c>
      <c r="F87" s="78">
        <f>E87/9*12</f>
        <v>-5226.7733333333335</v>
      </c>
      <c r="G87" s="58">
        <v>-150</v>
      </c>
      <c r="H87" s="5" t="s">
        <v>46</v>
      </c>
      <c r="I87" s="42">
        <v>-4500</v>
      </c>
    </row>
    <row r="88" spans="1:9" x14ac:dyDescent="0.25">
      <c r="A88" s="6" t="s">
        <v>47</v>
      </c>
      <c r="B88" s="33">
        <f t="shared" ref="B88:G88" si="15">SUM(B86:B87)</f>
        <v>202.89999999999964</v>
      </c>
      <c r="C88" s="33">
        <f t="shared" si="15"/>
        <v>0</v>
      </c>
      <c r="D88" s="33">
        <f t="shared" si="15"/>
        <v>908.94</v>
      </c>
      <c r="E88" s="83">
        <f t="shared" si="15"/>
        <v>-145.07999999999993</v>
      </c>
      <c r="F88" s="83">
        <f t="shared" si="15"/>
        <v>-696.77333333333354</v>
      </c>
      <c r="G88" s="52">
        <f t="shared" si="15"/>
        <v>850</v>
      </c>
      <c r="H88" s="109" t="s">
        <v>47</v>
      </c>
      <c r="I88" s="110">
        <f>SUM(I85:I87)</f>
        <v>1000</v>
      </c>
    </row>
    <row r="89" spans="1:9" x14ac:dyDescent="0.25">
      <c r="A89" s="3"/>
      <c r="B89" s="11"/>
      <c r="C89" s="11"/>
      <c r="D89" s="11"/>
      <c r="E89" s="76"/>
      <c r="F89" s="76"/>
      <c r="G89" s="55"/>
      <c r="H89" s="3"/>
      <c r="I89" s="44"/>
    </row>
    <row r="90" spans="1:9" ht="13.35" customHeight="1" x14ac:dyDescent="0.25">
      <c r="A90" s="5" t="s">
        <v>48</v>
      </c>
      <c r="B90" s="11"/>
      <c r="C90" s="11"/>
      <c r="D90" s="11"/>
      <c r="E90" s="76">
        <v>0</v>
      </c>
      <c r="F90" s="76">
        <f>E90/9*12</f>
        <v>0</v>
      </c>
      <c r="G90" s="55"/>
      <c r="H90" s="21" t="s">
        <v>48</v>
      </c>
      <c r="I90" s="44"/>
    </row>
    <row r="91" spans="1:9" x14ac:dyDescent="0.25">
      <c r="A91" s="5" t="s">
        <v>49</v>
      </c>
      <c r="B91" s="12"/>
      <c r="C91" s="12"/>
      <c r="D91" s="12"/>
      <c r="E91" s="77">
        <v>0</v>
      </c>
      <c r="F91" s="78">
        <f>E91/9*12</f>
        <v>0</v>
      </c>
      <c r="G91" s="60"/>
      <c r="H91" s="27" t="s">
        <v>49</v>
      </c>
      <c r="I91" s="45"/>
    </row>
    <row r="92" spans="1:9" x14ac:dyDescent="0.25">
      <c r="A92" s="6" t="s">
        <v>50</v>
      </c>
      <c r="B92" s="35">
        <f t="shared" ref="B92:D92" si="16">SUM(B90:B91)</f>
        <v>0</v>
      </c>
      <c r="C92" s="35">
        <f t="shared" si="16"/>
        <v>0</v>
      </c>
      <c r="D92" s="35">
        <f t="shared" si="16"/>
        <v>0</v>
      </c>
      <c r="E92" s="80">
        <f>SUM(E90:E91)</f>
        <v>0</v>
      </c>
      <c r="F92" s="80">
        <f>SUM(F90:F91)</f>
        <v>0</v>
      </c>
      <c r="G92" s="62">
        <f>SUM(G90:G91)</f>
        <v>0</v>
      </c>
      <c r="H92" s="115" t="s">
        <v>50</v>
      </c>
      <c r="I92" s="112">
        <f>SUM(I90:I91)</f>
        <v>0</v>
      </c>
    </row>
    <row r="93" spans="1:9" x14ac:dyDescent="0.25">
      <c r="A93" s="6"/>
      <c r="B93" s="11"/>
      <c r="C93" s="11"/>
      <c r="D93" s="11"/>
      <c r="E93" s="76"/>
      <c r="F93" s="76"/>
      <c r="G93" s="55"/>
      <c r="H93" s="6"/>
      <c r="I93" s="44"/>
    </row>
    <row r="94" spans="1:9" x14ac:dyDescent="0.25">
      <c r="A94" s="5" t="s">
        <v>72</v>
      </c>
      <c r="B94" s="11"/>
      <c r="C94" s="11"/>
      <c r="D94" s="11"/>
      <c r="E94" s="76">
        <v>0</v>
      </c>
      <c r="F94" s="76">
        <v>0</v>
      </c>
      <c r="G94" s="55"/>
      <c r="H94" s="5" t="s">
        <v>72</v>
      </c>
      <c r="I94" s="44"/>
    </row>
    <row r="95" spans="1:9" ht="15" customHeight="1" x14ac:dyDescent="0.25">
      <c r="A95" s="5" t="s">
        <v>73</v>
      </c>
      <c r="B95" s="11"/>
      <c r="C95" s="11"/>
      <c r="D95" s="11"/>
      <c r="E95" s="76">
        <v>0</v>
      </c>
      <c r="F95" s="76">
        <v>0</v>
      </c>
      <c r="G95" s="55"/>
      <c r="H95" s="5" t="s">
        <v>73</v>
      </c>
      <c r="I95" s="44"/>
    </row>
    <row r="96" spans="1:9" x14ac:dyDescent="0.25">
      <c r="A96" s="5" t="s">
        <v>74</v>
      </c>
      <c r="B96" s="12"/>
      <c r="C96" s="12"/>
      <c r="D96" s="12"/>
      <c r="E96" s="77">
        <v>0</v>
      </c>
      <c r="F96" s="78">
        <v>0</v>
      </c>
      <c r="G96" s="60"/>
      <c r="H96" s="5" t="s">
        <v>74</v>
      </c>
      <c r="I96" s="45"/>
    </row>
    <row r="97" spans="1:11" x14ac:dyDescent="0.25">
      <c r="A97" s="6" t="s">
        <v>76</v>
      </c>
      <c r="B97" s="13">
        <f t="shared" ref="B97:D97" si="17">SUM(B94:B96)</f>
        <v>0</v>
      </c>
      <c r="C97" s="13">
        <f t="shared" si="17"/>
        <v>0</v>
      </c>
      <c r="D97" s="13">
        <f t="shared" si="17"/>
        <v>0</v>
      </c>
      <c r="E97" s="84">
        <f>SUM(E94:E96)</f>
        <v>0</v>
      </c>
      <c r="F97" s="84">
        <f>SUM(F94:F96)</f>
        <v>0</v>
      </c>
      <c r="G97" s="66">
        <f>SUM(G94:G96)</f>
        <v>0</v>
      </c>
      <c r="H97" s="109" t="s">
        <v>76</v>
      </c>
      <c r="I97" s="112">
        <f>SUM(I94:I96)</f>
        <v>0</v>
      </c>
    </row>
    <row r="98" spans="1:11" x14ac:dyDescent="0.25">
      <c r="A98" s="100" t="s">
        <v>1</v>
      </c>
      <c r="B98" s="101">
        <f t="shared" ref="B98:G98" si="18">((((B74)+(B78))+(B83))+(B88))+(B92)+B97</f>
        <v>5557.9</v>
      </c>
      <c r="C98" s="101">
        <f t="shared" si="18"/>
        <v>7271.68</v>
      </c>
      <c r="D98" s="101">
        <f t="shared" si="18"/>
        <v>5696.4599999999991</v>
      </c>
      <c r="E98" s="101">
        <f t="shared" si="18"/>
        <v>7739.9800000000005</v>
      </c>
      <c r="F98" s="101">
        <f t="shared" si="18"/>
        <v>8765.2986666666657</v>
      </c>
      <c r="G98" s="102">
        <f t="shared" si="18"/>
        <v>10750</v>
      </c>
      <c r="H98" s="103" t="s">
        <v>1</v>
      </c>
      <c r="I98" s="104">
        <f>I97+I92+I88+I83+I78</f>
        <v>8150</v>
      </c>
    </row>
    <row r="99" spans="1:11" x14ac:dyDescent="0.25">
      <c r="A99" s="3"/>
      <c r="B99" s="11"/>
      <c r="C99" s="11"/>
      <c r="D99" s="11"/>
      <c r="E99" s="76"/>
      <c r="F99" s="76"/>
      <c r="G99" s="55"/>
      <c r="H99" s="3"/>
      <c r="I99" s="44"/>
    </row>
    <row r="100" spans="1:11" x14ac:dyDescent="0.25">
      <c r="A100" s="116" t="s">
        <v>2</v>
      </c>
      <c r="B100" s="117">
        <f t="shared" ref="B100:G100" si="19">((((B14)+(B56))+(B66))+(B72))+(B98)</f>
        <v>153005.86000000002</v>
      </c>
      <c r="C100" s="117">
        <f t="shared" si="19"/>
        <v>164697.12</v>
      </c>
      <c r="D100" s="117">
        <f t="shared" si="19"/>
        <v>142635.51999999999</v>
      </c>
      <c r="E100" s="117">
        <f t="shared" si="19"/>
        <v>153494.59000000003</v>
      </c>
      <c r="F100" s="117">
        <f t="shared" si="19"/>
        <v>179999.40133333334</v>
      </c>
      <c r="G100" s="118">
        <f t="shared" si="19"/>
        <v>256764.55</v>
      </c>
      <c r="H100" s="116" t="s">
        <v>2</v>
      </c>
      <c r="I100" s="119">
        <f>I14+I56+I98+I72+I66</f>
        <v>230275.35800000001</v>
      </c>
    </row>
    <row r="101" spans="1:11" x14ac:dyDescent="0.25">
      <c r="A101" s="3" t="s">
        <v>3</v>
      </c>
      <c r="B101" s="37">
        <f>(B100)-(0)</f>
        <v>153005.86000000002</v>
      </c>
      <c r="C101" s="37">
        <f>(C100)-(0)</f>
        <v>164697.12</v>
      </c>
      <c r="D101" s="37">
        <f>(D100)-(0)</f>
        <v>142635.51999999999</v>
      </c>
      <c r="E101" s="85">
        <f>(E100)-(0)</f>
        <v>153494.59000000003</v>
      </c>
      <c r="F101" s="85">
        <f>(F100)-(0)</f>
        <v>179999.40133333334</v>
      </c>
      <c r="G101" s="67">
        <f t="shared" ref="G101" si="20">(G100)-(0)</f>
        <v>256764.55</v>
      </c>
      <c r="H101" s="3" t="s">
        <v>3</v>
      </c>
      <c r="I101" s="47">
        <f>(I100)-(0)</f>
        <v>230275.35800000001</v>
      </c>
    </row>
    <row r="102" spans="1:11" x14ac:dyDescent="0.25">
      <c r="A102" s="3"/>
      <c r="B102" s="11"/>
      <c r="C102" s="11"/>
      <c r="D102" s="11"/>
      <c r="E102" s="76"/>
      <c r="F102" s="76"/>
      <c r="G102" s="55"/>
      <c r="H102" s="3"/>
      <c r="I102" s="44"/>
    </row>
    <row r="103" spans="1:11" x14ac:dyDescent="0.25">
      <c r="A103" s="3" t="s">
        <v>4</v>
      </c>
      <c r="B103" s="11"/>
      <c r="C103" s="11"/>
      <c r="D103" s="11"/>
      <c r="E103" s="76"/>
      <c r="F103" s="76"/>
      <c r="G103" s="55"/>
      <c r="H103" s="3" t="s">
        <v>4</v>
      </c>
      <c r="I103" s="44"/>
    </row>
    <row r="104" spans="1:11" x14ac:dyDescent="0.25">
      <c r="A104" s="5" t="s">
        <v>51</v>
      </c>
      <c r="B104" s="11">
        <v>105</v>
      </c>
      <c r="C104" s="11">
        <v>420.49</v>
      </c>
      <c r="D104" s="11">
        <v>4974.3999999999996</v>
      </c>
      <c r="E104" s="76">
        <v>236</v>
      </c>
      <c r="F104" s="76">
        <f>E104/10*12</f>
        <v>283.20000000000005</v>
      </c>
      <c r="G104" s="55">
        <v>4200</v>
      </c>
      <c r="H104" s="5" t="s">
        <v>51</v>
      </c>
      <c r="I104" s="44">
        <f>F104</f>
        <v>283.20000000000005</v>
      </c>
    </row>
    <row r="105" spans="1:11" x14ac:dyDescent="0.25">
      <c r="A105" s="5" t="s">
        <v>52</v>
      </c>
      <c r="B105" s="11">
        <v>15124.75</v>
      </c>
      <c r="C105" s="11">
        <v>13500</v>
      </c>
      <c r="D105" s="11">
        <v>14537.5</v>
      </c>
      <c r="E105" s="76">
        <v>11750</v>
      </c>
      <c r="F105" s="76">
        <f t="shared" ref="F105:F121" si="21">E105/10*12</f>
        <v>14100</v>
      </c>
      <c r="G105" s="55">
        <v>14400</v>
      </c>
      <c r="H105" s="5" t="s">
        <v>52</v>
      </c>
      <c r="I105" s="44">
        <f t="shared" ref="I105:I131" si="22">F105</f>
        <v>14100</v>
      </c>
    </row>
    <row r="106" spans="1:11" x14ac:dyDescent="0.25">
      <c r="A106" s="5" t="s">
        <v>81</v>
      </c>
      <c r="B106" s="11">
        <v>49500</v>
      </c>
      <c r="C106" s="11">
        <v>1114.5</v>
      </c>
      <c r="D106" s="11">
        <v>725</v>
      </c>
      <c r="E106" s="76">
        <v>0</v>
      </c>
      <c r="F106" s="76">
        <f t="shared" si="21"/>
        <v>0</v>
      </c>
      <c r="G106" s="55">
        <v>0</v>
      </c>
      <c r="H106" s="5" t="s">
        <v>81</v>
      </c>
      <c r="I106" s="44">
        <f t="shared" si="22"/>
        <v>0</v>
      </c>
    </row>
    <row r="107" spans="1:11" x14ac:dyDescent="0.25">
      <c r="A107" s="5" t="s">
        <v>53</v>
      </c>
      <c r="B107" s="11">
        <v>0</v>
      </c>
      <c r="C107" s="11">
        <v>75</v>
      </c>
      <c r="D107" s="11">
        <v>418.14</v>
      </c>
      <c r="E107" s="76">
        <v>450</v>
      </c>
      <c r="F107" s="76">
        <f t="shared" si="21"/>
        <v>540</v>
      </c>
      <c r="G107" s="55">
        <v>0</v>
      </c>
      <c r="H107" s="5" t="s">
        <v>53</v>
      </c>
      <c r="I107" s="44">
        <f t="shared" si="22"/>
        <v>540</v>
      </c>
    </row>
    <row r="108" spans="1:11" ht="17.100000000000001" customHeight="1" x14ac:dyDescent="0.25">
      <c r="A108" s="5" t="s">
        <v>54</v>
      </c>
      <c r="B108" s="11">
        <v>2441.15</v>
      </c>
      <c r="C108" s="11">
        <v>3202.53</v>
      </c>
      <c r="D108" s="11">
        <v>2411.64</v>
      </c>
      <c r="E108" s="76">
        <v>2890.99</v>
      </c>
      <c r="F108" s="76">
        <f t="shared" si="21"/>
        <v>3469.1880000000001</v>
      </c>
      <c r="G108" s="55">
        <v>4433</v>
      </c>
      <c r="H108" s="5" t="s">
        <v>54</v>
      </c>
      <c r="I108" s="44">
        <f>F108*1.2</f>
        <v>4163.0255999999999</v>
      </c>
      <c r="J108" s="89" t="s">
        <v>144</v>
      </c>
    </row>
    <row r="109" spans="1:11" x14ac:dyDescent="0.25">
      <c r="A109" s="5" t="s">
        <v>55</v>
      </c>
      <c r="B109" s="11">
        <v>1611.6</v>
      </c>
      <c r="C109" s="11">
        <v>2333.9699999999998</v>
      </c>
      <c r="D109" s="11">
        <v>2981.82</v>
      </c>
      <c r="E109" s="76">
        <v>3162.92</v>
      </c>
      <c r="F109" s="76">
        <f t="shared" si="21"/>
        <v>3795.5040000000004</v>
      </c>
      <c r="G109" s="55">
        <v>3000</v>
      </c>
      <c r="H109" s="5" t="s">
        <v>55</v>
      </c>
      <c r="I109" s="44">
        <v>2500</v>
      </c>
      <c r="J109" t="s">
        <v>145</v>
      </c>
    </row>
    <row r="110" spans="1:11" x14ac:dyDescent="0.25">
      <c r="A110" s="5" t="s">
        <v>56</v>
      </c>
      <c r="B110" s="11">
        <v>2140.1999999999998</v>
      </c>
      <c r="C110" s="11">
        <v>2267.8000000000002</v>
      </c>
      <c r="D110" s="11">
        <v>1973</v>
      </c>
      <c r="E110" s="76">
        <v>1472.76</v>
      </c>
      <c r="F110" s="76">
        <f t="shared" si="21"/>
        <v>1767.3120000000001</v>
      </c>
      <c r="G110" s="55">
        <v>2000</v>
      </c>
      <c r="H110" s="5" t="s">
        <v>56</v>
      </c>
      <c r="I110" s="44">
        <f t="shared" si="22"/>
        <v>1767.3120000000001</v>
      </c>
      <c r="K110" t="s">
        <v>165</v>
      </c>
    </row>
    <row r="111" spans="1:11" x14ac:dyDescent="0.25">
      <c r="A111" s="5" t="s">
        <v>129</v>
      </c>
      <c r="B111" s="11"/>
      <c r="C111" s="11"/>
      <c r="D111" s="11">
        <v>358.59</v>
      </c>
      <c r="E111" s="76">
        <v>504.2</v>
      </c>
      <c r="F111" s="76">
        <f t="shared" si="21"/>
        <v>605.04</v>
      </c>
      <c r="G111" s="55"/>
      <c r="H111" s="5"/>
      <c r="I111" s="44">
        <f t="shared" si="22"/>
        <v>605.04</v>
      </c>
      <c r="K111" t="s">
        <v>166</v>
      </c>
    </row>
    <row r="112" spans="1:11" x14ac:dyDescent="0.25">
      <c r="A112" s="5" t="s">
        <v>57</v>
      </c>
      <c r="B112" s="11">
        <f>405.73+64.61</f>
        <v>470.34000000000003</v>
      </c>
      <c r="C112" s="11">
        <v>956.63</v>
      </c>
      <c r="D112" s="11">
        <v>540</v>
      </c>
      <c r="E112" s="76">
        <v>283.18</v>
      </c>
      <c r="F112" s="76">
        <f t="shared" si="21"/>
        <v>339.81600000000003</v>
      </c>
      <c r="G112" s="55">
        <v>600</v>
      </c>
      <c r="H112" s="5" t="s">
        <v>57</v>
      </c>
      <c r="I112" s="44">
        <f t="shared" si="22"/>
        <v>339.81600000000003</v>
      </c>
    </row>
    <row r="113" spans="1:12" x14ac:dyDescent="0.25">
      <c r="A113" s="5" t="s">
        <v>58</v>
      </c>
      <c r="B113" s="11">
        <v>430.56</v>
      </c>
      <c r="C113" s="11">
        <v>1816.59</v>
      </c>
      <c r="D113" s="11">
        <v>1839.94</v>
      </c>
      <c r="E113" s="76">
        <v>964.34</v>
      </c>
      <c r="F113" s="76">
        <f t="shared" si="21"/>
        <v>1157.2080000000001</v>
      </c>
      <c r="G113" s="55">
        <v>2100</v>
      </c>
      <c r="H113" s="5" t="s">
        <v>58</v>
      </c>
      <c r="I113" s="44">
        <f t="shared" si="22"/>
        <v>1157.2080000000001</v>
      </c>
    </row>
    <row r="114" spans="1:12" x14ac:dyDescent="0.25">
      <c r="A114" s="5" t="s">
        <v>83</v>
      </c>
      <c r="B114" s="11">
        <v>450.64</v>
      </c>
      <c r="C114" s="11">
        <v>478.4</v>
      </c>
      <c r="D114" s="11">
        <v>453.29</v>
      </c>
      <c r="E114" s="76">
        <v>54.64</v>
      </c>
      <c r="F114" s="76">
        <f t="shared" si="21"/>
        <v>65.568000000000012</v>
      </c>
      <c r="G114" s="55">
        <v>0</v>
      </c>
      <c r="H114" s="5" t="s">
        <v>83</v>
      </c>
      <c r="I114" s="44">
        <f t="shared" si="22"/>
        <v>65.568000000000012</v>
      </c>
    </row>
    <row r="115" spans="1:12" x14ac:dyDescent="0.25">
      <c r="A115" s="5" t="s">
        <v>59</v>
      </c>
      <c r="B115" s="11">
        <f>576.33+30</f>
        <v>606.33000000000004</v>
      </c>
      <c r="C115" s="11">
        <v>2574.5</v>
      </c>
      <c r="D115" s="11">
        <v>3719.67</v>
      </c>
      <c r="E115" s="76">
        <v>709.13</v>
      </c>
      <c r="F115" s="76">
        <f t="shared" si="21"/>
        <v>850.9559999999999</v>
      </c>
      <c r="G115" s="55">
        <v>3535.43</v>
      </c>
      <c r="H115" s="5" t="s">
        <v>59</v>
      </c>
      <c r="I115" s="44">
        <f t="shared" si="22"/>
        <v>850.9559999999999</v>
      </c>
    </row>
    <row r="116" spans="1:12" x14ac:dyDescent="0.25">
      <c r="A116" s="5" t="s">
        <v>60</v>
      </c>
      <c r="B116" s="11">
        <v>926.21</v>
      </c>
      <c r="C116" s="11">
        <v>1186.45</v>
      </c>
      <c r="D116" s="11">
        <v>1233.75</v>
      </c>
      <c r="E116" s="76">
        <v>1184.51</v>
      </c>
      <c r="F116" s="76">
        <f t="shared" si="21"/>
        <v>1421.4119999999998</v>
      </c>
      <c r="G116" s="55">
        <v>1219.75</v>
      </c>
      <c r="H116" s="5" t="s">
        <v>60</v>
      </c>
      <c r="I116" s="90">
        <v>1400</v>
      </c>
      <c r="J116" t="s">
        <v>161</v>
      </c>
    </row>
    <row r="117" spans="1:12" x14ac:dyDescent="0.25">
      <c r="A117" s="5" t="s">
        <v>61</v>
      </c>
      <c r="B117" s="11">
        <v>3930.86</v>
      </c>
      <c r="C117" s="11">
        <v>7658.49</v>
      </c>
      <c r="D117" s="11">
        <v>8522.77</v>
      </c>
      <c r="E117" s="76">
        <v>7317.56</v>
      </c>
      <c r="F117" s="76">
        <f t="shared" si="21"/>
        <v>8781.0720000000001</v>
      </c>
      <c r="G117" s="55">
        <v>11365.2</v>
      </c>
      <c r="H117" s="5" t="s">
        <v>61</v>
      </c>
      <c r="I117" s="90">
        <f>((I128+I129)*0.0765)+1500</f>
        <v>13127.99388</v>
      </c>
      <c r="J117" t="s">
        <v>162</v>
      </c>
    </row>
    <row r="118" spans="1:12" x14ac:dyDescent="0.25">
      <c r="A118" s="5" t="s">
        <v>62</v>
      </c>
      <c r="B118" s="11">
        <v>340.06</v>
      </c>
      <c r="C118" s="11">
        <v>1190.51</v>
      </c>
      <c r="D118" s="11">
        <v>793.96</v>
      </c>
      <c r="E118" s="76">
        <v>1076.24</v>
      </c>
      <c r="F118" s="76">
        <f t="shared" si="21"/>
        <v>1291.4879999999998</v>
      </c>
      <c r="G118" s="55">
        <v>1302.67</v>
      </c>
      <c r="H118" s="5" t="s">
        <v>62</v>
      </c>
      <c r="I118" s="44">
        <f t="shared" si="22"/>
        <v>1291.4879999999998</v>
      </c>
    </row>
    <row r="119" spans="1:12" x14ac:dyDescent="0.25">
      <c r="A119" s="5" t="s">
        <v>82</v>
      </c>
      <c r="B119" s="11">
        <v>9317.52</v>
      </c>
      <c r="C119" s="11">
        <v>9317.52</v>
      </c>
      <c r="D119" s="11">
        <v>9317.52</v>
      </c>
      <c r="E119" s="76">
        <v>7764.6</v>
      </c>
      <c r="F119" s="76">
        <f t="shared" si="21"/>
        <v>9317.52</v>
      </c>
      <c r="G119" s="55">
        <v>9317.52</v>
      </c>
      <c r="H119" s="5" t="s">
        <v>82</v>
      </c>
      <c r="I119" s="44">
        <f t="shared" si="22"/>
        <v>9317.52</v>
      </c>
    </row>
    <row r="120" spans="1:12" x14ac:dyDescent="0.25">
      <c r="A120" s="5" t="s">
        <v>122</v>
      </c>
      <c r="B120" s="11"/>
      <c r="C120" s="11"/>
      <c r="D120" s="11">
        <v>433.65</v>
      </c>
      <c r="E120" s="76">
        <v>0</v>
      </c>
      <c r="F120" s="76">
        <f t="shared" si="21"/>
        <v>0</v>
      </c>
      <c r="G120" s="55">
        <v>433.65</v>
      </c>
      <c r="H120" s="5"/>
      <c r="I120" s="44">
        <f t="shared" si="22"/>
        <v>0</v>
      </c>
    </row>
    <row r="121" spans="1:12" ht="15.6" customHeight="1" x14ac:dyDescent="0.25">
      <c r="A121" s="5" t="s">
        <v>63</v>
      </c>
      <c r="B121" s="11">
        <v>800</v>
      </c>
      <c r="C121" s="11">
        <v>2445</v>
      </c>
      <c r="D121" s="11">
        <v>1380</v>
      </c>
      <c r="E121" s="76">
        <v>1610</v>
      </c>
      <c r="F121" s="76">
        <f t="shared" si="21"/>
        <v>1932</v>
      </c>
      <c r="G121" s="55">
        <v>2530</v>
      </c>
      <c r="H121" s="5" t="s">
        <v>63</v>
      </c>
      <c r="I121" s="90">
        <v>4260</v>
      </c>
      <c r="J121" t="s">
        <v>163</v>
      </c>
      <c r="K121" t="s">
        <v>164</v>
      </c>
      <c r="L121" s="2">
        <f>(((I128/12)*10)*0.03)</f>
        <v>1500</v>
      </c>
    </row>
    <row r="122" spans="1:12" x14ac:dyDescent="0.25">
      <c r="A122" s="5" t="s">
        <v>64</v>
      </c>
      <c r="B122" s="11"/>
      <c r="C122" s="11"/>
      <c r="D122" s="11"/>
      <c r="E122" s="76"/>
      <c r="F122" s="76"/>
      <c r="G122" s="55"/>
      <c r="H122" s="5" t="s">
        <v>64</v>
      </c>
      <c r="I122" s="44">
        <f t="shared" si="22"/>
        <v>0</v>
      </c>
      <c r="L122" s="2">
        <f>I129*0.03</f>
        <v>2759.9976000000001</v>
      </c>
    </row>
    <row r="123" spans="1:12" x14ac:dyDescent="0.25">
      <c r="A123" s="23" t="s">
        <v>87</v>
      </c>
      <c r="B123" s="11">
        <v>5743.02</v>
      </c>
      <c r="C123" s="11">
        <v>8210.42</v>
      </c>
      <c r="D123" s="11">
        <v>11488.88</v>
      </c>
      <c r="E123" s="76">
        <v>10078.25</v>
      </c>
      <c r="F123" s="76">
        <f>E123/10*12</f>
        <v>12093.900000000001</v>
      </c>
      <c r="G123" s="55">
        <v>12000</v>
      </c>
      <c r="H123" s="23" t="s">
        <v>87</v>
      </c>
      <c r="I123" s="44">
        <f>F123</f>
        <v>12093.900000000001</v>
      </c>
      <c r="L123" s="2">
        <f>L121+L122</f>
        <v>4259.9976000000006</v>
      </c>
    </row>
    <row r="124" spans="1:12" x14ac:dyDescent="0.25">
      <c r="A124" s="23" t="s">
        <v>88</v>
      </c>
      <c r="B124" s="11">
        <v>3555.76</v>
      </c>
      <c r="C124" s="11">
        <v>3239.99</v>
      </c>
      <c r="D124" s="11">
        <v>3334.43</v>
      </c>
      <c r="E124" s="76">
        <v>2543.16</v>
      </c>
      <c r="F124" s="76">
        <f t="shared" ref="F124:F131" si="23">E124/10*12</f>
        <v>3051.7919999999995</v>
      </c>
      <c r="G124" s="55">
        <v>3000</v>
      </c>
      <c r="H124" s="23" t="s">
        <v>88</v>
      </c>
      <c r="I124" s="44">
        <f>F124</f>
        <v>3051.7919999999995</v>
      </c>
    </row>
    <row r="125" spans="1:12" x14ac:dyDescent="0.25">
      <c r="A125" s="23" t="s">
        <v>89</v>
      </c>
      <c r="B125" s="11">
        <v>3035.82</v>
      </c>
      <c r="C125" s="11">
        <v>3371.18</v>
      </c>
      <c r="D125" s="11">
        <v>3576.66</v>
      </c>
      <c r="E125" s="76">
        <v>2870.79</v>
      </c>
      <c r="F125" s="76">
        <f t="shared" si="23"/>
        <v>3444.9480000000003</v>
      </c>
      <c r="G125" s="55">
        <v>3600</v>
      </c>
      <c r="H125" s="23" t="s">
        <v>89</v>
      </c>
      <c r="I125" s="44">
        <f t="shared" si="22"/>
        <v>3444.9480000000003</v>
      </c>
    </row>
    <row r="126" spans="1:12" x14ac:dyDescent="0.25">
      <c r="A126" s="23" t="s">
        <v>90</v>
      </c>
      <c r="B126" s="11">
        <v>2529.21</v>
      </c>
      <c r="C126" s="11">
        <v>685</v>
      </c>
      <c r="D126" s="11">
        <v>1117</v>
      </c>
      <c r="E126" s="76">
        <v>425</v>
      </c>
      <c r="F126" s="76">
        <f t="shared" si="23"/>
        <v>510</v>
      </c>
      <c r="G126" s="55">
        <v>1200</v>
      </c>
      <c r="H126" s="23" t="s">
        <v>90</v>
      </c>
      <c r="I126" s="44">
        <f t="shared" si="22"/>
        <v>510</v>
      </c>
    </row>
    <row r="127" spans="1:12" x14ac:dyDescent="0.25">
      <c r="A127" s="5" t="s">
        <v>65</v>
      </c>
      <c r="B127" s="11">
        <v>1778.82</v>
      </c>
      <c r="C127" s="11">
        <v>1545.72</v>
      </c>
      <c r="D127" s="11">
        <v>971.33</v>
      </c>
      <c r="E127" s="76">
        <v>1083.5999999999999</v>
      </c>
      <c r="F127" s="76">
        <f t="shared" si="23"/>
        <v>1300.3199999999997</v>
      </c>
      <c r="G127" s="55">
        <v>900</v>
      </c>
      <c r="H127" s="5" t="s">
        <v>65</v>
      </c>
      <c r="I127" s="44">
        <f t="shared" si="22"/>
        <v>1300.3199999999997</v>
      </c>
      <c r="K127" s="2"/>
    </row>
    <row r="128" spans="1:12" x14ac:dyDescent="0.25">
      <c r="A128" s="5" t="s">
        <v>96</v>
      </c>
      <c r="B128" s="11">
        <v>0</v>
      </c>
      <c r="C128" s="11">
        <v>15713.86</v>
      </c>
      <c r="D128" s="11">
        <v>16645</v>
      </c>
      <c r="E128" s="76">
        <v>17440</v>
      </c>
      <c r="F128" s="76">
        <f t="shared" si="23"/>
        <v>20928</v>
      </c>
      <c r="G128" s="55">
        <v>15600</v>
      </c>
      <c r="H128" s="5" t="s">
        <v>84</v>
      </c>
      <c r="I128" s="44">
        <v>60000</v>
      </c>
      <c r="J128" t="s">
        <v>146</v>
      </c>
    </row>
    <row r="129" spans="1:9" x14ac:dyDescent="0.25">
      <c r="A129" s="5" t="s">
        <v>107</v>
      </c>
      <c r="B129" s="11">
        <v>49595.28</v>
      </c>
      <c r="C129" s="11">
        <v>82166.59</v>
      </c>
      <c r="D129" s="11">
        <v>91999.92</v>
      </c>
      <c r="E129" s="76">
        <v>76666.600000000006</v>
      </c>
      <c r="F129" s="76">
        <f t="shared" si="23"/>
        <v>91999.920000000013</v>
      </c>
      <c r="G129" s="55">
        <v>91999.92</v>
      </c>
      <c r="H129" s="5" t="s">
        <v>107</v>
      </c>
      <c r="I129" s="44">
        <f t="shared" si="22"/>
        <v>91999.920000000013</v>
      </c>
    </row>
    <row r="130" spans="1:9" x14ac:dyDescent="0.25">
      <c r="A130" s="5" t="s">
        <v>138</v>
      </c>
      <c r="B130" s="11"/>
      <c r="C130" s="11"/>
      <c r="D130" s="11"/>
      <c r="E130" s="76">
        <v>0</v>
      </c>
      <c r="F130" s="76">
        <f t="shared" si="23"/>
        <v>0</v>
      </c>
      <c r="G130" s="55">
        <v>39999.96</v>
      </c>
      <c r="H130" s="5" t="s">
        <v>85</v>
      </c>
      <c r="I130" s="44">
        <f t="shared" si="22"/>
        <v>0</v>
      </c>
    </row>
    <row r="131" spans="1:9" x14ac:dyDescent="0.25">
      <c r="A131" s="5" t="s">
        <v>66</v>
      </c>
      <c r="B131" s="12"/>
      <c r="C131" s="12"/>
      <c r="D131" s="12">
        <v>1611.86</v>
      </c>
      <c r="E131" s="77">
        <v>1519.8</v>
      </c>
      <c r="F131" s="77">
        <f t="shared" si="23"/>
        <v>1823.7599999999998</v>
      </c>
      <c r="G131" s="60">
        <v>1800</v>
      </c>
      <c r="H131" s="5" t="s">
        <v>66</v>
      </c>
      <c r="I131" s="44">
        <f t="shared" si="22"/>
        <v>1823.7599999999998</v>
      </c>
    </row>
    <row r="132" spans="1:9" x14ac:dyDescent="0.25">
      <c r="A132" s="105" t="s">
        <v>5</v>
      </c>
      <c r="B132" s="106">
        <f t="shared" ref="B132:G132" si="24">SUM(B104:B131)</f>
        <v>154433.13</v>
      </c>
      <c r="C132" s="106">
        <f t="shared" si="24"/>
        <v>165471.14000000001</v>
      </c>
      <c r="D132" s="106">
        <f t="shared" si="24"/>
        <v>187359.71999999997</v>
      </c>
      <c r="E132" s="106">
        <f t="shared" si="24"/>
        <v>154058.26999999999</v>
      </c>
      <c r="F132" s="106">
        <f t="shared" si="24"/>
        <v>184869.92400000003</v>
      </c>
      <c r="G132" s="107">
        <f t="shared" si="24"/>
        <v>230537.1</v>
      </c>
      <c r="H132" s="105" t="s">
        <v>5</v>
      </c>
      <c r="I132" s="108">
        <f>SUM(I104:I131)</f>
        <v>229993.76748000001</v>
      </c>
    </row>
    <row r="133" spans="1:9" x14ac:dyDescent="0.25">
      <c r="A133" s="3" t="s">
        <v>6</v>
      </c>
      <c r="B133" s="38">
        <f t="shared" ref="B133:G133" si="25">(B101)-(B132)</f>
        <v>-1427.2699999999895</v>
      </c>
      <c r="C133" s="38">
        <f t="shared" si="25"/>
        <v>-774.02000000001863</v>
      </c>
      <c r="D133" s="38">
        <f t="shared" si="25"/>
        <v>-44724.199999999983</v>
      </c>
      <c r="E133" s="88">
        <f t="shared" si="25"/>
        <v>-563.67999999996391</v>
      </c>
      <c r="F133" s="86">
        <f t="shared" si="25"/>
        <v>-4870.5226666666858</v>
      </c>
      <c r="G133" s="68">
        <f t="shared" si="25"/>
        <v>26227.449999999983</v>
      </c>
      <c r="H133" s="3" t="s">
        <v>6</v>
      </c>
      <c r="I133" s="176">
        <f>(I101)-(I132)</f>
        <v>281.59051999999792</v>
      </c>
    </row>
    <row r="134" spans="1:9" x14ac:dyDescent="0.25">
      <c r="A134" s="3"/>
      <c r="B134" s="11"/>
      <c r="C134" s="11"/>
      <c r="D134" s="11"/>
      <c r="E134" s="76"/>
      <c r="F134" s="76"/>
      <c r="G134" s="55"/>
      <c r="H134" s="3"/>
      <c r="I134" s="44"/>
    </row>
    <row r="135" spans="1:9" x14ac:dyDescent="0.25">
      <c r="A135" s="3" t="s">
        <v>7</v>
      </c>
      <c r="B135" s="11"/>
      <c r="C135" s="11"/>
      <c r="D135" s="11"/>
      <c r="E135" s="76"/>
      <c r="F135" s="76"/>
      <c r="G135" s="55"/>
      <c r="H135" s="3" t="s">
        <v>7</v>
      </c>
      <c r="I135" s="44"/>
    </row>
    <row r="136" spans="1:9" x14ac:dyDescent="0.25">
      <c r="A136" s="5" t="s">
        <v>93</v>
      </c>
      <c r="B136" s="11">
        <v>17856</v>
      </c>
      <c r="C136" s="11"/>
      <c r="D136" s="11"/>
      <c r="E136" s="76">
        <v>2500</v>
      </c>
      <c r="F136" s="76"/>
      <c r="G136" s="55"/>
      <c r="H136" s="5" t="s">
        <v>67</v>
      </c>
      <c r="I136" s="44"/>
    </row>
    <row r="137" spans="1:9" x14ac:dyDescent="0.25">
      <c r="A137" s="5" t="s">
        <v>91</v>
      </c>
      <c r="B137" s="11">
        <v>1570</v>
      </c>
      <c r="C137" s="11"/>
      <c r="D137" s="11"/>
      <c r="E137" s="76">
        <v>0</v>
      </c>
      <c r="F137" s="76"/>
      <c r="G137" s="55"/>
      <c r="H137" s="5" t="s">
        <v>91</v>
      </c>
      <c r="I137" s="44"/>
    </row>
    <row r="138" spans="1:9" x14ac:dyDescent="0.25">
      <c r="A138" s="5" t="s">
        <v>92</v>
      </c>
      <c r="B138" s="11">
        <v>-1570</v>
      </c>
      <c r="C138" s="11"/>
      <c r="D138" s="11"/>
      <c r="E138" s="76">
        <v>0</v>
      </c>
      <c r="F138" s="76"/>
      <c r="G138" s="55"/>
      <c r="H138" s="5" t="s">
        <v>92</v>
      </c>
      <c r="I138" s="44"/>
    </row>
    <row r="139" spans="1:9" x14ac:dyDescent="0.25">
      <c r="A139" s="5" t="s">
        <v>93</v>
      </c>
      <c r="B139" s="11"/>
      <c r="C139" s="11"/>
      <c r="D139" s="11"/>
      <c r="E139" s="76"/>
      <c r="F139" s="76"/>
      <c r="G139" s="55"/>
      <c r="H139" s="5" t="s">
        <v>93</v>
      </c>
      <c r="I139" s="44"/>
    </row>
    <row r="140" spans="1:9" x14ac:dyDescent="0.25">
      <c r="A140" s="5" t="s">
        <v>68</v>
      </c>
      <c r="B140" s="11">
        <v>171.45</v>
      </c>
      <c r="C140" s="11">
        <v>113.04</v>
      </c>
      <c r="D140" s="11">
        <v>114.65</v>
      </c>
      <c r="E140" s="76">
        <v>70.52</v>
      </c>
      <c r="F140" s="76"/>
      <c r="G140" s="55"/>
      <c r="H140" s="5" t="s">
        <v>68</v>
      </c>
      <c r="I140" s="44"/>
    </row>
    <row r="141" spans="1:9" x14ac:dyDescent="0.25">
      <c r="A141" s="5" t="s">
        <v>86</v>
      </c>
      <c r="B141" s="11">
        <v>11637.09</v>
      </c>
      <c r="C141" s="11">
        <v>10630</v>
      </c>
      <c r="D141" s="11">
        <v>6120</v>
      </c>
      <c r="E141" s="76">
        <v>9270</v>
      </c>
      <c r="F141" s="76"/>
      <c r="G141" s="55"/>
      <c r="H141" s="5" t="s">
        <v>86</v>
      </c>
      <c r="I141" s="44"/>
    </row>
    <row r="142" spans="1:9" x14ac:dyDescent="0.25">
      <c r="A142" s="5" t="s">
        <v>95</v>
      </c>
      <c r="B142" s="11">
        <v>1857.61</v>
      </c>
      <c r="C142" s="11">
        <v>-385</v>
      </c>
      <c r="D142" s="11">
        <v>-1200</v>
      </c>
      <c r="E142" s="76">
        <v>-7820.95</v>
      </c>
      <c r="F142" s="76"/>
      <c r="G142" s="55"/>
      <c r="H142" s="5" t="s">
        <v>95</v>
      </c>
      <c r="I142" s="44"/>
    </row>
    <row r="143" spans="1:9" x14ac:dyDescent="0.25">
      <c r="A143" s="5" t="s">
        <v>69</v>
      </c>
      <c r="B143" s="12">
        <v>1764.18</v>
      </c>
      <c r="C143" s="12">
        <v>1281.49</v>
      </c>
      <c r="D143" s="12">
        <v>2237.17</v>
      </c>
      <c r="E143" s="77">
        <v>2774.38</v>
      </c>
      <c r="F143" s="78"/>
      <c r="G143" s="55"/>
      <c r="H143" s="5" t="s">
        <v>69</v>
      </c>
      <c r="I143" s="44"/>
    </row>
    <row r="144" spans="1:9" x14ac:dyDescent="0.25">
      <c r="A144" s="6" t="s">
        <v>8</v>
      </c>
      <c r="B144" s="33">
        <f t="shared" ref="B144:G144" si="26">SUM(B136:B143)</f>
        <v>33286.33</v>
      </c>
      <c r="C144" s="33">
        <f t="shared" si="26"/>
        <v>11639.53</v>
      </c>
      <c r="D144" s="33">
        <f t="shared" si="26"/>
        <v>7271.82</v>
      </c>
      <c r="E144" s="82">
        <f t="shared" si="26"/>
        <v>6793.9500000000007</v>
      </c>
      <c r="F144" s="79">
        <f t="shared" si="26"/>
        <v>0</v>
      </c>
      <c r="G144" s="66">
        <f t="shared" si="26"/>
        <v>0</v>
      </c>
      <c r="H144" s="6" t="s">
        <v>8</v>
      </c>
      <c r="I144" s="48">
        <f>SUM(I136:I143)</f>
        <v>0</v>
      </c>
    </row>
    <row r="145" spans="1:9" x14ac:dyDescent="0.25">
      <c r="A145" s="3"/>
      <c r="B145" s="15"/>
      <c r="C145" s="15"/>
      <c r="D145" s="15"/>
      <c r="E145" s="79"/>
      <c r="F145" s="76"/>
      <c r="G145" s="55"/>
      <c r="H145" s="3"/>
      <c r="I145" s="41"/>
    </row>
    <row r="146" spans="1:9" ht="15.75" thickBot="1" x14ac:dyDescent="0.3">
      <c r="A146" s="7" t="s">
        <v>70</v>
      </c>
      <c r="B146" s="37">
        <f>(B133)+(B144)</f>
        <v>31859.060000000012</v>
      </c>
      <c r="C146" s="37">
        <f>(C133)+(C144)</f>
        <v>10865.509999999982</v>
      </c>
      <c r="D146" s="38">
        <f>(D133)+(D144)</f>
        <v>-37452.379999999983</v>
      </c>
      <c r="E146" s="88">
        <f>(E133)+(E144)</f>
        <v>6230.2700000000368</v>
      </c>
      <c r="F146" s="86">
        <f>(F133)+(F144)</f>
        <v>-4870.5226666666858</v>
      </c>
      <c r="G146" s="69">
        <f t="shared" ref="G146" si="27">(G133)+(G144)</f>
        <v>26227.449999999983</v>
      </c>
      <c r="H146" s="3" t="s">
        <v>70</v>
      </c>
      <c r="I146" s="50">
        <f>(I133)+(I144)</f>
        <v>281.59051999999792</v>
      </c>
    </row>
    <row r="147" spans="1:9" ht="15.75" thickTop="1" x14ac:dyDescent="0.25">
      <c r="A147" s="3"/>
      <c r="B147" s="3"/>
      <c r="C147" s="11"/>
      <c r="D147" s="11"/>
      <c r="E147" s="11"/>
      <c r="F147" s="11"/>
      <c r="G147" s="22"/>
      <c r="H147"/>
    </row>
    <row r="148" spans="1:9" x14ac:dyDescent="0.25">
      <c r="A148" s="1"/>
      <c r="B148" s="1"/>
      <c r="C148" s="11"/>
      <c r="D148" s="11"/>
      <c r="E148" s="11"/>
      <c r="F148" s="11"/>
      <c r="G148" s="22"/>
      <c r="H148"/>
    </row>
    <row r="149" spans="1:9" x14ac:dyDescent="0.25">
      <c r="A149" s="18" t="s">
        <v>140</v>
      </c>
      <c r="B149" s="18"/>
      <c r="C149" s="11"/>
      <c r="D149" s="11"/>
      <c r="E149" s="11"/>
      <c r="F149" s="11"/>
      <c r="G149" s="22"/>
      <c r="H149"/>
    </row>
    <row r="150" spans="1:9" x14ac:dyDescent="0.25">
      <c r="A150" s="17" t="s">
        <v>141</v>
      </c>
      <c r="B150" s="17"/>
      <c r="C150" s="11"/>
      <c r="D150" s="11"/>
      <c r="E150" s="11"/>
      <c r="F150" s="11"/>
      <c r="G150" s="22"/>
      <c r="H150"/>
    </row>
    <row r="151" spans="1:9" x14ac:dyDescent="0.25">
      <c r="A151" s="17" t="s">
        <v>142</v>
      </c>
      <c r="B151" s="17"/>
      <c r="C151" s="11"/>
      <c r="D151" s="11"/>
      <c r="E151" s="11"/>
      <c r="F151" s="11"/>
      <c r="G151" s="22"/>
      <c r="H151"/>
    </row>
    <row r="152" spans="1:9" x14ac:dyDescent="0.25">
      <c r="A152" s="1"/>
      <c r="B152" s="1"/>
      <c r="C152" s="11"/>
      <c r="D152" s="11"/>
      <c r="E152" s="11"/>
      <c r="F152" s="11"/>
      <c r="G152" s="22"/>
      <c r="H152"/>
    </row>
    <row r="153" spans="1:9" x14ac:dyDescent="0.25">
      <c r="A153" s="1"/>
      <c r="B153" s="1"/>
      <c r="C153" s="11"/>
      <c r="D153" s="11"/>
      <c r="E153" s="11"/>
      <c r="F153" s="11"/>
      <c r="G153" s="22"/>
      <c r="H153"/>
    </row>
    <row r="154" spans="1:9" x14ac:dyDescent="0.25">
      <c r="A154" s="19"/>
      <c r="B154" s="19"/>
      <c r="C154" s="11"/>
      <c r="D154" s="11"/>
      <c r="E154" s="11"/>
      <c r="F154" s="11"/>
      <c r="G154" s="22"/>
      <c r="H154"/>
    </row>
    <row r="155" spans="1:9" ht="15.75" x14ac:dyDescent="0.25">
      <c r="A155" s="8"/>
      <c r="B155" s="8"/>
      <c r="C155" s="10"/>
      <c r="D155" s="10"/>
      <c r="E155" s="10"/>
      <c r="F155" s="10"/>
      <c r="G155" s="70"/>
      <c r="H155"/>
    </row>
    <row r="156" spans="1:9" ht="15.75" x14ac:dyDescent="0.25">
      <c r="A156" s="8"/>
      <c r="B156" s="8"/>
      <c r="C156" s="10"/>
      <c r="D156" s="10"/>
      <c r="E156" s="10"/>
      <c r="F156" s="10"/>
      <c r="G156" s="70"/>
      <c r="H156"/>
    </row>
    <row r="157" spans="1:9" ht="15.75" x14ac:dyDescent="0.25">
      <c r="A157" s="8"/>
      <c r="B157" s="8"/>
      <c r="C157" s="10"/>
      <c r="D157" s="10"/>
      <c r="E157" s="10"/>
      <c r="F157" s="10"/>
      <c r="G157" s="70"/>
      <c r="H157"/>
    </row>
    <row r="158" spans="1:9" ht="15.75" x14ac:dyDescent="0.25">
      <c r="A158" s="8"/>
      <c r="B158" s="8"/>
      <c r="C158" s="10"/>
      <c r="D158" s="10"/>
      <c r="E158" s="10"/>
      <c r="F158" s="10"/>
      <c r="G158" s="70"/>
      <c r="H158"/>
    </row>
    <row r="159" spans="1:9" ht="15.75" x14ac:dyDescent="0.25">
      <c r="A159" s="20"/>
      <c r="B159" s="20"/>
      <c r="C159" s="10"/>
      <c r="D159" s="10"/>
      <c r="E159" s="10"/>
      <c r="F159" s="10"/>
      <c r="G159" s="70"/>
      <c r="H159"/>
    </row>
    <row r="160" spans="1:9" ht="15.75" x14ac:dyDescent="0.25">
      <c r="A160" s="8"/>
      <c r="B160" s="8"/>
      <c r="H160"/>
    </row>
    <row r="161" spans="1:8" ht="15.75" x14ac:dyDescent="0.25">
      <c r="A161" s="8"/>
      <c r="B161" s="8"/>
      <c r="H161"/>
    </row>
    <row r="162" spans="1:8" ht="15.75" x14ac:dyDescent="0.25">
      <c r="A162" s="8"/>
      <c r="B162" s="8"/>
      <c r="H162"/>
    </row>
    <row r="163" spans="1:8" ht="15.75" x14ac:dyDescent="0.25">
      <c r="A163" s="8"/>
      <c r="B163" s="8"/>
      <c r="H163"/>
    </row>
    <row r="164" spans="1:8" ht="15.75" x14ac:dyDescent="0.25">
      <c r="A164" s="8"/>
      <c r="B164" s="8"/>
      <c r="H164"/>
    </row>
    <row r="165" spans="1:8" ht="15.75" x14ac:dyDescent="0.25">
      <c r="A165" s="8"/>
      <c r="B165" s="8"/>
      <c r="H165"/>
    </row>
    <row r="166" spans="1:8" ht="15.75" x14ac:dyDescent="0.25">
      <c r="A166" s="8"/>
      <c r="B166" s="8"/>
      <c r="H166"/>
    </row>
    <row r="167" spans="1:8" ht="15.75" x14ac:dyDescent="0.25">
      <c r="A167" s="8"/>
      <c r="B167" s="8"/>
      <c r="H167"/>
    </row>
    <row r="168" spans="1:8" ht="15.75" x14ac:dyDescent="0.25">
      <c r="A168" s="8"/>
      <c r="B168" s="8"/>
      <c r="H168"/>
    </row>
    <row r="169" spans="1:8" ht="15.75" x14ac:dyDescent="0.25">
      <c r="A169" s="8"/>
      <c r="B169" s="8"/>
      <c r="H169"/>
    </row>
    <row r="170" spans="1:8" ht="15.75" x14ac:dyDescent="0.25">
      <c r="A170" s="8"/>
      <c r="B170" s="8"/>
      <c r="H170" s="22"/>
    </row>
    <row r="171" spans="1:8" ht="15.75" x14ac:dyDescent="0.25">
      <c r="A171" s="8"/>
      <c r="B171" s="8"/>
      <c r="H171" s="22"/>
    </row>
    <row r="172" spans="1:8" ht="15.75" x14ac:dyDescent="0.25">
      <c r="A172" s="8"/>
      <c r="B172" s="8"/>
      <c r="H172" s="22"/>
    </row>
    <row r="173" spans="1:8" ht="15.75" x14ac:dyDescent="0.25">
      <c r="A173" s="8"/>
      <c r="B173" s="8"/>
      <c r="H173" s="22"/>
    </row>
    <row r="174" spans="1:8" ht="15.75" x14ac:dyDescent="0.25">
      <c r="A174" s="8"/>
      <c r="B174" s="8"/>
      <c r="H174" s="22"/>
    </row>
    <row r="175" spans="1:8" ht="15.75" x14ac:dyDescent="0.25">
      <c r="A175" s="8"/>
      <c r="B175" s="8"/>
      <c r="H175" s="22"/>
    </row>
    <row r="176" spans="1:8" ht="15.75" x14ac:dyDescent="0.25">
      <c r="A176" s="8"/>
      <c r="B176" s="8"/>
      <c r="H176" s="22"/>
    </row>
    <row r="177" spans="1:2" ht="15.75" x14ac:dyDescent="0.25">
      <c r="A177" s="8"/>
      <c r="B177" s="8"/>
    </row>
    <row r="178" spans="1:2" ht="15.75" x14ac:dyDescent="0.25">
      <c r="A178" s="8"/>
      <c r="B178" s="8"/>
    </row>
    <row r="179" spans="1:2" ht="15.75" x14ac:dyDescent="0.25">
      <c r="A179" s="8"/>
      <c r="B179" s="8"/>
    </row>
    <row r="180" spans="1:2" ht="15.75" x14ac:dyDescent="0.25">
      <c r="A180" s="8"/>
      <c r="B180" s="8"/>
    </row>
    <row r="181" spans="1:2" ht="15.75" x14ac:dyDescent="0.25">
      <c r="A181" s="8"/>
      <c r="B181" s="8"/>
    </row>
    <row r="182" spans="1:2" ht="15.75" x14ac:dyDescent="0.25">
      <c r="A182" s="8"/>
      <c r="B182" s="8"/>
    </row>
    <row r="183" spans="1:2" ht="15.75" x14ac:dyDescent="0.25">
      <c r="A183" s="8"/>
      <c r="B183" s="8"/>
    </row>
    <row r="184" spans="1:2" ht="15.75" x14ac:dyDescent="0.25">
      <c r="A184" s="8"/>
      <c r="B184" s="8"/>
    </row>
    <row r="185" spans="1:2" ht="15.75" x14ac:dyDescent="0.25">
      <c r="A185" s="8"/>
      <c r="B185" s="8"/>
    </row>
    <row r="186" spans="1:2" ht="15.75" x14ac:dyDescent="0.25">
      <c r="A186" s="8"/>
      <c r="B186" s="8"/>
    </row>
  </sheetData>
  <mergeCells count="4">
    <mergeCell ref="A1:I1"/>
    <mergeCell ref="A2:I2"/>
    <mergeCell ref="A3:I3"/>
    <mergeCell ref="I5:I6"/>
  </mergeCells>
  <printOptions gridLines="1"/>
  <pageMargins left="0.25" right="0.25" top="0.25" bottom="0.25" header="0.3" footer="0.3"/>
  <pageSetup scale="46" fitToHeight="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78E27-2656-4DDA-8ADA-F69347E8D1E5}">
  <sheetPr>
    <pageSetUpPr fitToPage="1"/>
  </sheetPr>
  <dimension ref="A1:I185"/>
  <sheetViews>
    <sheetView zoomScale="85" zoomScaleNormal="85" workbookViewId="0">
      <pane xSplit="1" ySplit="6" topLeftCell="B7" activePane="bottomRight" state="frozen"/>
      <selection activeCell="I50" sqref="I50"/>
      <selection pane="topRight" activeCell="I50" sqref="I50"/>
      <selection pane="bottomLeft" activeCell="I50" sqref="I50"/>
      <selection pane="bottomRight" activeCell="F46" sqref="F46"/>
    </sheetView>
  </sheetViews>
  <sheetFormatPr defaultRowHeight="15" x14ac:dyDescent="0.25"/>
  <cols>
    <col min="1" max="1" width="41.42578125" customWidth="1"/>
    <col min="2" max="3" width="15.85546875" style="2" customWidth="1"/>
    <col min="4" max="4" width="15.140625" style="71" customWidth="1"/>
    <col min="5" max="5" width="39.85546875" style="16" customWidth="1"/>
    <col min="6" max="6" width="26.140625" customWidth="1"/>
    <col min="7" max="7" width="29.85546875" customWidth="1"/>
    <col min="8" max="8" width="10.85546875" bestFit="1" customWidth="1"/>
    <col min="9" max="9" width="9.5703125" bestFit="1" customWidth="1"/>
  </cols>
  <sheetData>
    <row r="1" spans="1:9" ht="18" x14ac:dyDescent="0.25">
      <c r="A1" s="178" t="s">
        <v>9</v>
      </c>
      <c r="B1" s="178"/>
      <c r="C1" s="178"/>
      <c r="D1" s="178"/>
      <c r="E1" s="178"/>
      <c r="F1" s="178"/>
    </row>
    <row r="2" spans="1:9" ht="18" x14ac:dyDescent="0.25">
      <c r="A2" s="178" t="s">
        <v>220</v>
      </c>
      <c r="B2" s="178"/>
      <c r="C2" s="178"/>
      <c r="D2" s="178"/>
      <c r="E2" s="178"/>
      <c r="F2" s="178"/>
    </row>
    <row r="3" spans="1:9" ht="18" x14ac:dyDescent="0.25">
      <c r="A3" s="179"/>
      <c r="B3" s="179"/>
      <c r="C3" s="179"/>
      <c r="D3" s="179"/>
      <c r="E3" s="179"/>
      <c r="F3" s="179"/>
    </row>
    <row r="4" spans="1:9" ht="21" thickBot="1" x14ac:dyDescent="0.35">
      <c r="A4" s="9"/>
      <c r="B4" s="24"/>
      <c r="C4" s="24"/>
      <c r="D4" s="22"/>
      <c r="E4" s="15"/>
      <c r="F4" s="39"/>
    </row>
    <row r="5" spans="1:9" ht="55.5" customHeight="1" thickTop="1" x14ac:dyDescent="0.25">
      <c r="A5" s="9"/>
      <c r="B5" s="72" t="s">
        <v>124</v>
      </c>
      <c r="C5" s="73">
        <v>2024</v>
      </c>
      <c r="D5" s="53" t="s">
        <v>115</v>
      </c>
      <c r="E5" s="28"/>
      <c r="F5" s="180" t="s">
        <v>154</v>
      </c>
    </row>
    <row r="6" spans="1:9" ht="15.75" thickBot="1" x14ac:dyDescent="0.3">
      <c r="A6" s="1"/>
      <c r="B6" s="74" t="s">
        <v>153</v>
      </c>
      <c r="C6" s="75" t="s">
        <v>108</v>
      </c>
      <c r="D6" s="54" t="s">
        <v>125</v>
      </c>
      <c r="E6" s="29"/>
      <c r="F6" s="181"/>
    </row>
    <row r="7" spans="1:9" ht="18" x14ac:dyDescent="0.25">
      <c r="A7" s="124" t="s">
        <v>0</v>
      </c>
      <c r="B7" s="77"/>
      <c r="C7" s="77"/>
      <c r="D7" s="60"/>
      <c r="E7" s="127" t="s">
        <v>0</v>
      </c>
      <c r="F7" s="126"/>
    </row>
    <row r="8" spans="1:9" x14ac:dyDescent="0.25">
      <c r="A8" s="3" t="s">
        <v>10</v>
      </c>
      <c r="B8" s="76"/>
      <c r="C8" s="76"/>
      <c r="D8" s="55"/>
      <c r="E8" s="3" t="s">
        <v>10</v>
      </c>
      <c r="F8" s="40"/>
    </row>
    <row r="9" spans="1:9" x14ac:dyDescent="0.25">
      <c r="A9" s="5" t="s">
        <v>12</v>
      </c>
      <c r="B9" s="76">
        <v>3790</v>
      </c>
      <c r="C9" s="76">
        <f>B9/10*12</f>
        <v>4548</v>
      </c>
      <c r="D9" s="56">
        <v>10250</v>
      </c>
      <c r="E9" s="5" t="s">
        <v>12</v>
      </c>
      <c r="F9" s="25">
        <f>'2025 Budget Worksheet '!I10</f>
        <v>4620</v>
      </c>
    </row>
    <row r="10" spans="1:9" ht="24.6" customHeight="1" x14ac:dyDescent="0.25">
      <c r="A10" s="5" t="s">
        <v>11</v>
      </c>
      <c r="B10" s="76">
        <v>59241</v>
      </c>
      <c r="C10" s="76">
        <f t="shared" ref="C10:C11" si="0">B10/10*12</f>
        <v>71089.200000000012</v>
      </c>
      <c r="D10" s="56">
        <v>99500</v>
      </c>
      <c r="E10" s="5" t="s">
        <v>11</v>
      </c>
      <c r="F10" s="25">
        <f>'2025 Budget Worksheet '!I11</f>
        <v>79872.685200000022</v>
      </c>
      <c r="G10" s="30"/>
    </row>
    <row r="11" spans="1:9" ht="22.7" customHeight="1" x14ac:dyDescent="0.25">
      <c r="A11" s="5" t="s">
        <v>13</v>
      </c>
      <c r="B11" s="76">
        <v>23085</v>
      </c>
      <c r="C11" s="76">
        <f t="shared" si="0"/>
        <v>27702</v>
      </c>
      <c r="D11" s="56">
        <v>62012.5</v>
      </c>
      <c r="E11" s="5" t="s">
        <v>13</v>
      </c>
      <c r="F11" s="25">
        <f>'2025 Budget Worksheet '!I12</f>
        <v>29087.478000000003</v>
      </c>
      <c r="G11" s="30"/>
      <c r="H11" s="2"/>
      <c r="I11" s="2"/>
    </row>
    <row r="12" spans="1:9" ht="14.45" customHeight="1" x14ac:dyDescent="0.25">
      <c r="A12" s="51" t="s">
        <v>130</v>
      </c>
      <c r="B12" s="77">
        <v>0</v>
      </c>
      <c r="C12" s="78">
        <f>B12/9*12</f>
        <v>0</v>
      </c>
      <c r="D12" s="57">
        <v>-13007.25</v>
      </c>
      <c r="E12" s="51"/>
      <c r="F12" s="26">
        <f>'2025 Budget Worksheet '!I13</f>
        <v>0</v>
      </c>
      <c r="G12" s="30"/>
    </row>
    <row r="13" spans="1:9" ht="29.45" customHeight="1" x14ac:dyDescent="0.25">
      <c r="A13" s="131" t="s">
        <v>14</v>
      </c>
      <c r="B13" s="132">
        <f>SUM(B9:B12)</f>
        <v>86116</v>
      </c>
      <c r="C13" s="132">
        <f>SUM(C9:C12)</f>
        <v>103339.20000000001</v>
      </c>
      <c r="D13" s="133">
        <f>SUM(D9:D12)</f>
        <v>158755.25</v>
      </c>
      <c r="E13" s="128" t="s">
        <v>221</v>
      </c>
      <c r="F13" s="129">
        <f>SUM(F9:F12)</f>
        <v>113580.16320000002</v>
      </c>
    </row>
    <row r="14" spans="1:9" x14ac:dyDescent="0.25">
      <c r="A14" s="3" t="s">
        <v>15</v>
      </c>
      <c r="B14" s="76"/>
      <c r="C14" s="76"/>
      <c r="D14" s="55"/>
      <c r="E14" s="3" t="s">
        <v>15</v>
      </c>
      <c r="F14" s="41"/>
    </row>
    <row r="15" spans="1:9" x14ac:dyDescent="0.25">
      <c r="A15" s="5" t="s">
        <v>16</v>
      </c>
      <c r="B15" s="76">
        <v>25050</v>
      </c>
      <c r="C15" s="76">
        <f>+B15</f>
        <v>25050</v>
      </c>
      <c r="D15" s="56">
        <v>12000</v>
      </c>
      <c r="E15" s="5" t="s">
        <v>16</v>
      </c>
      <c r="F15" s="25">
        <f>'2025 Budget Worksheet '!I16</f>
        <v>15000</v>
      </c>
    </row>
    <row r="16" spans="1:9" x14ac:dyDescent="0.25">
      <c r="A16" s="5" t="s">
        <v>17</v>
      </c>
      <c r="B16" s="76">
        <v>1400</v>
      </c>
      <c r="C16" s="76">
        <f>+B16</f>
        <v>1400</v>
      </c>
      <c r="D16" s="56">
        <v>1750</v>
      </c>
      <c r="E16" s="5" t="s">
        <v>17</v>
      </c>
      <c r="F16" s="25">
        <f>'2025 Budget Worksheet '!I17</f>
        <v>1750</v>
      </c>
    </row>
    <row r="17" spans="1:7" x14ac:dyDescent="0.25">
      <c r="A17" s="5" t="s">
        <v>18</v>
      </c>
      <c r="B17" s="77">
        <v>-24795.919999999998</v>
      </c>
      <c r="C17" s="78">
        <f>+B17</f>
        <v>-24795.919999999998</v>
      </c>
      <c r="D17" s="58">
        <v>-10000</v>
      </c>
      <c r="E17" s="130" t="s">
        <v>18</v>
      </c>
      <c r="F17" s="45">
        <f>'2025 Budget Worksheet '!I18</f>
        <v>-15000</v>
      </c>
    </row>
    <row r="18" spans="1:7" x14ac:dyDescent="0.25">
      <c r="A18" s="6" t="s">
        <v>19</v>
      </c>
      <c r="B18" s="82">
        <f t="shared" ref="B18:C18" si="1">SUM(B15:B17)</f>
        <v>1654.0800000000017</v>
      </c>
      <c r="C18" s="82">
        <f t="shared" si="1"/>
        <v>1654.0800000000017</v>
      </c>
      <c r="D18" s="52">
        <f>SUM(D15:D17)</f>
        <v>3750</v>
      </c>
      <c r="E18" s="109" t="s">
        <v>19</v>
      </c>
      <c r="F18" s="110">
        <f>SUM(F15:F17)</f>
        <v>1750</v>
      </c>
    </row>
    <row r="19" spans="1:7" x14ac:dyDescent="0.25">
      <c r="A19" s="3"/>
      <c r="B19" s="76"/>
      <c r="C19" s="76"/>
      <c r="D19" s="55"/>
      <c r="E19" s="3"/>
      <c r="F19" s="41"/>
    </row>
    <row r="20" spans="1:7" x14ac:dyDescent="0.25">
      <c r="A20" s="5" t="s">
        <v>117</v>
      </c>
      <c r="B20" s="76">
        <v>0</v>
      </c>
      <c r="C20" s="76">
        <f>B20/9*12</f>
        <v>0</v>
      </c>
      <c r="D20" s="56">
        <v>4000</v>
      </c>
      <c r="E20" s="5" t="s">
        <v>109</v>
      </c>
      <c r="F20" s="25">
        <f>'2025 Budget Worksheet '!I21</f>
        <v>2000</v>
      </c>
      <c r="G20" s="2"/>
    </row>
    <row r="21" spans="1:7" x14ac:dyDescent="0.25">
      <c r="A21" s="5" t="s">
        <v>118</v>
      </c>
      <c r="B21" s="76">
        <v>29571.22</v>
      </c>
      <c r="C21" s="76">
        <f>+B21</f>
        <v>29571.22</v>
      </c>
      <c r="D21" s="56">
        <v>14400</v>
      </c>
      <c r="E21" s="5" t="s">
        <v>110</v>
      </c>
      <c r="F21" s="25">
        <f>'2025 Budget Worksheet '!I22</f>
        <v>29120</v>
      </c>
    </row>
    <row r="22" spans="1:7" x14ac:dyDescent="0.25">
      <c r="A22" s="5" t="s">
        <v>119</v>
      </c>
      <c r="B22" s="77">
        <v>-4751.7700000000004</v>
      </c>
      <c r="C22" s="78">
        <f>B22</f>
        <v>-4751.7700000000004</v>
      </c>
      <c r="D22" s="58">
        <v>-7103.98</v>
      </c>
      <c r="E22" s="130" t="s">
        <v>111</v>
      </c>
      <c r="F22" s="45">
        <f>'2025 Budget Worksheet '!I23</f>
        <v>-6751.77</v>
      </c>
    </row>
    <row r="23" spans="1:7" x14ac:dyDescent="0.25">
      <c r="A23" s="6" t="s">
        <v>139</v>
      </c>
      <c r="B23" s="82">
        <f t="shared" ref="B23:C23" si="2">SUM(B20:B22)</f>
        <v>24819.45</v>
      </c>
      <c r="C23" s="82">
        <f t="shared" si="2"/>
        <v>24819.45</v>
      </c>
      <c r="D23" s="52">
        <f>SUM(D20:D22)</f>
        <v>11296.02</v>
      </c>
      <c r="E23" s="109" t="s">
        <v>139</v>
      </c>
      <c r="F23" s="110">
        <f>SUM(F20:F22)</f>
        <v>24368.23</v>
      </c>
    </row>
    <row r="24" spans="1:7" x14ac:dyDescent="0.25">
      <c r="A24" s="3"/>
      <c r="B24" s="76"/>
      <c r="C24" s="76"/>
      <c r="D24" s="55"/>
      <c r="E24" s="3"/>
      <c r="F24" s="41"/>
    </row>
    <row r="25" spans="1:7" x14ac:dyDescent="0.25">
      <c r="A25" s="5" t="s">
        <v>20</v>
      </c>
      <c r="B25" s="76">
        <v>100</v>
      </c>
      <c r="C25" s="76">
        <f>B25</f>
        <v>100</v>
      </c>
      <c r="D25" s="56"/>
      <c r="E25" s="5" t="s">
        <v>20</v>
      </c>
      <c r="F25" s="25">
        <f>'2025 Budget Worksheet '!I26</f>
        <v>250</v>
      </c>
    </row>
    <row r="26" spans="1:7" x14ac:dyDescent="0.25">
      <c r="A26" s="5" t="s">
        <v>21</v>
      </c>
      <c r="B26" s="76">
        <v>1175</v>
      </c>
      <c r="C26" s="76">
        <f t="shared" ref="C26:C27" si="3">B26</f>
        <v>1175</v>
      </c>
      <c r="D26" s="56">
        <v>1200</v>
      </c>
      <c r="E26" s="5" t="s">
        <v>21</v>
      </c>
      <c r="F26" s="25">
        <f>'2025 Budget Worksheet '!I27</f>
        <v>1500</v>
      </c>
    </row>
    <row r="27" spans="1:7" x14ac:dyDescent="0.25">
      <c r="A27" s="5" t="s">
        <v>22</v>
      </c>
      <c r="B27" s="76">
        <v>-185.07</v>
      </c>
      <c r="C27" s="76">
        <f t="shared" si="3"/>
        <v>-185.07</v>
      </c>
      <c r="D27" s="59">
        <v>-1200</v>
      </c>
      <c r="E27" s="5" t="s">
        <v>22</v>
      </c>
      <c r="F27" s="45">
        <f>'2025 Budget Worksheet '!I28</f>
        <v>-500</v>
      </c>
    </row>
    <row r="28" spans="1:7" ht="19.350000000000001" customHeight="1" x14ac:dyDescent="0.25">
      <c r="A28" s="5" t="s">
        <v>77</v>
      </c>
      <c r="B28" s="76"/>
      <c r="C28" s="76">
        <f t="shared" ref="C28:C30" si="4">B28/9*12</f>
        <v>0</v>
      </c>
      <c r="D28" s="55"/>
      <c r="E28" s="5" t="s">
        <v>77</v>
      </c>
      <c r="F28" s="25">
        <f>'2025 Budget Worksheet '!I29</f>
        <v>0</v>
      </c>
    </row>
    <row r="29" spans="1:7" ht="18" customHeight="1" x14ac:dyDescent="0.25">
      <c r="A29" s="5" t="s">
        <v>78</v>
      </c>
      <c r="B29" s="76">
        <v>30</v>
      </c>
      <c r="C29" s="76">
        <f>B29</f>
        <v>30</v>
      </c>
      <c r="D29" s="55">
        <v>0</v>
      </c>
      <c r="E29" s="5" t="s">
        <v>78</v>
      </c>
      <c r="F29" s="25">
        <f>'2025 Budget Worksheet '!I30</f>
        <v>0</v>
      </c>
    </row>
    <row r="30" spans="1:7" x14ac:dyDescent="0.25">
      <c r="A30" s="5" t="s">
        <v>79</v>
      </c>
      <c r="B30" s="77"/>
      <c r="C30" s="78">
        <f t="shared" si="4"/>
        <v>0</v>
      </c>
      <c r="D30" s="60">
        <v>0</v>
      </c>
      <c r="E30" s="130" t="s">
        <v>79</v>
      </c>
      <c r="F30" s="26">
        <f>'2025 Budget Worksheet '!I31</f>
        <v>0</v>
      </c>
    </row>
    <row r="31" spans="1:7" x14ac:dyDescent="0.25">
      <c r="A31" s="6" t="s">
        <v>23</v>
      </c>
      <c r="B31" s="82">
        <f t="shared" ref="B31:D31" si="5">SUM(B25:B30)</f>
        <v>1119.93</v>
      </c>
      <c r="C31" s="82">
        <f t="shared" si="5"/>
        <v>1119.93</v>
      </c>
      <c r="D31" s="52">
        <f t="shared" si="5"/>
        <v>0</v>
      </c>
      <c r="E31" s="109" t="s">
        <v>23</v>
      </c>
      <c r="F31" s="110">
        <f>SUM(F25:F30)</f>
        <v>1250</v>
      </c>
    </row>
    <row r="32" spans="1:7" x14ac:dyDescent="0.25">
      <c r="A32" s="3"/>
      <c r="B32" s="76"/>
      <c r="C32" s="76"/>
      <c r="D32" s="55"/>
      <c r="E32" s="3"/>
      <c r="F32" s="44"/>
    </row>
    <row r="33" spans="1:7" x14ac:dyDescent="0.25">
      <c r="A33" s="5" t="s">
        <v>24</v>
      </c>
      <c r="B33" s="76">
        <v>5725</v>
      </c>
      <c r="C33" s="76">
        <f>B33/9*12</f>
        <v>7633.333333333333</v>
      </c>
      <c r="D33" s="55">
        <v>5000</v>
      </c>
      <c r="E33" s="5" t="s">
        <v>112</v>
      </c>
      <c r="F33" s="44">
        <f>'2025 Budget Worksheet '!I34</f>
        <v>14100</v>
      </c>
    </row>
    <row r="34" spans="1:7" x14ac:dyDescent="0.25">
      <c r="A34" s="5" t="s">
        <v>25</v>
      </c>
      <c r="B34" s="76">
        <v>5350</v>
      </c>
      <c r="C34" s="76">
        <f>B34/9*12</f>
        <v>7133.3333333333339</v>
      </c>
      <c r="D34" s="55">
        <v>1600</v>
      </c>
      <c r="E34" s="5" t="s">
        <v>113</v>
      </c>
      <c r="F34" s="44">
        <f>'2025 Budget Worksheet '!I35</f>
        <v>8725</v>
      </c>
    </row>
    <row r="35" spans="1:7" x14ac:dyDescent="0.25">
      <c r="A35" s="5" t="s">
        <v>26</v>
      </c>
      <c r="B35" s="77">
        <v>-6492.64</v>
      </c>
      <c r="C35" s="78">
        <f>B35/9*12</f>
        <v>-8656.8533333333344</v>
      </c>
      <c r="D35" s="60">
        <v>-20000</v>
      </c>
      <c r="E35" s="130" t="s">
        <v>94</v>
      </c>
      <c r="F35" s="45">
        <f>'2025 Budget Worksheet '!I36</f>
        <v>-25000</v>
      </c>
      <c r="G35" s="2"/>
    </row>
    <row r="36" spans="1:7" x14ac:dyDescent="0.25">
      <c r="A36" s="6" t="s">
        <v>27</v>
      </c>
      <c r="B36" s="87">
        <f t="shared" ref="B36:D36" si="6">SUM(B33:B35)</f>
        <v>4582.3599999999997</v>
      </c>
      <c r="C36" s="87">
        <f t="shared" si="6"/>
        <v>6109.8133333333335</v>
      </c>
      <c r="D36" s="61">
        <f t="shared" si="6"/>
        <v>-13400</v>
      </c>
      <c r="E36" s="109" t="s">
        <v>114</v>
      </c>
      <c r="F36" s="111">
        <f>SUM(F33:F35)</f>
        <v>-2175</v>
      </c>
    </row>
    <row r="37" spans="1:7" x14ac:dyDescent="0.25">
      <c r="B37" s="76"/>
      <c r="C37" s="76"/>
      <c r="D37" s="55"/>
      <c r="E37" s="3"/>
      <c r="F37" s="44"/>
    </row>
    <row r="38" spans="1:7" x14ac:dyDescent="0.25">
      <c r="A38" s="4" t="s">
        <v>97</v>
      </c>
      <c r="B38" s="76">
        <v>77</v>
      </c>
      <c r="C38" s="76">
        <f>B38/9*12</f>
        <v>102.66666666666666</v>
      </c>
      <c r="D38" s="55">
        <v>-1500</v>
      </c>
      <c r="E38" s="5" t="s">
        <v>97</v>
      </c>
      <c r="F38" s="44">
        <f>'2025 Budget Worksheet '!I39</f>
        <v>0</v>
      </c>
    </row>
    <row r="39" spans="1:7" x14ac:dyDescent="0.25">
      <c r="A39" s="4" t="s">
        <v>98</v>
      </c>
      <c r="B39" s="77">
        <v>-104.89</v>
      </c>
      <c r="C39" s="78">
        <f>B39/9*12</f>
        <v>-139.85333333333332</v>
      </c>
      <c r="D39" s="60">
        <v>1500</v>
      </c>
      <c r="E39" s="130" t="s">
        <v>98</v>
      </c>
      <c r="F39" s="45">
        <f>'2025 Budget Worksheet '!I40</f>
        <v>-150</v>
      </c>
    </row>
    <row r="40" spans="1:7" x14ac:dyDescent="0.25">
      <c r="A40" s="6" t="s">
        <v>99</v>
      </c>
      <c r="B40" s="80">
        <f t="shared" ref="B40:D40" si="7">+B39+B38</f>
        <v>-27.89</v>
      </c>
      <c r="C40" s="80">
        <f t="shared" si="7"/>
        <v>-37.186666666666667</v>
      </c>
      <c r="D40" s="62">
        <f t="shared" si="7"/>
        <v>0</v>
      </c>
      <c r="E40" s="109" t="s">
        <v>99</v>
      </c>
      <c r="F40" s="113">
        <f>+F39+F38</f>
        <v>-150</v>
      </c>
    </row>
    <row r="41" spans="1:7" x14ac:dyDescent="0.25">
      <c r="A41" s="6"/>
      <c r="B41" s="80"/>
      <c r="C41" s="76"/>
      <c r="D41" s="52"/>
      <c r="E41" s="6"/>
      <c r="F41" s="46"/>
    </row>
    <row r="42" spans="1:7" x14ac:dyDescent="0.25">
      <c r="A42" s="4" t="s">
        <v>120</v>
      </c>
      <c r="B42" s="76">
        <v>2757</v>
      </c>
      <c r="C42" s="76">
        <f>B42/10*12</f>
        <v>3308.3999999999996</v>
      </c>
      <c r="D42" s="55">
        <v>2400</v>
      </c>
      <c r="E42" s="5" t="s">
        <v>120</v>
      </c>
      <c r="F42" s="44">
        <f>'2025 Budget Worksheet '!I43</f>
        <v>3000</v>
      </c>
    </row>
    <row r="43" spans="1:7" x14ac:dyDescent="0.25">
      <c r="A43" s="4" t="s">
        <v>100</v>
      </c>
      <c r="B43" s="77">
        <v>-1137.49</v>
      </c>
      <c r="C43" s="78">
        <f>B43/10*12</f>
        <v>-1364.9879999999998</v>
      </c>
      <c r="D43" s="60">
        <v>-600</v>
      </c>
      <c r="E43" s="130" t="s">
        <v>100</v>
      </c>
      <c r="F43" s="45">
        <f>'2025 Budget Worksheet '!I44</f>
        <v>-1200</v>
      </c>
    </row>
    <row r="44" spans="1:7" x14ac:dyDescent="0.25">
      <c r="A44" s="6" t="s">
        <v>121</v>
      </c>
      <c r="B44" s="80">
        <f t="shared" ref="B44:D44" si="8">SUM(B42:B43)</f>
        <v>1619.51</v>
      </c>
      <c r="C44" s="80">
        <f t="shared" si="8"/>
        <v>1943.4119999999998</v>
      </c>
      <c r="D44" s="63">
        <f t="shared" si="8"/>
        <v>1800</v>
      </c>
      <c r="E44" s="109" t="s">
        <v>121</v>
      </c>
      <c r="F44" s="113">
        <f>SUM(F42:F43)</f>
        <v>1800</v>
      </c>
    </row>
    <row r="45" spans="1:7" x14ac:dyDescent="0.25">
      <c r="A45" s="4"/>
      <c r="B45" s="80"/>
      <c r="C45" s="76"/>
      <c r="D45" s="52"/>
      <c r="E45" s="4"/>
      <c r="F45" s="46"/>
    </row>
    <row r="46" spans="1:7" ht="29.25" x14ac:dyDescent="0.25">
      <c r="A46" s="4" t="s">
        <v>126</v>
      </c>
      <c r="B46" s="76">
        <v>0</v>
      </c>
      <c r="C46" s="76">
        <f>B46/9*12</f>
        <v>0</v>
      </c>
      <c r="D46" s="55"/>
      <c r="E46" s="5" t="s">
        <v>131</v>
      </c>
      <c r="F46" s="44">
        <f>'2025 Budget Worksheet '!I47</f>
        <v>0</v>
      </c>
    </row>
    <row r="47" spans="1:7" ht="29.25" x14ac:dyDescent="0.25">
      <c r="A47" s="4" t="s">
        <v>127</v>
      </c>
      <c r="B47" s="76">
        <v>0</v>
      </c>
      <c r="C47" s="76">
        <f>B47/9*12</f>
        <v>0</v>
      </c>
      <c r="D47" s="55"/>
      <c r="E47" s="5" t="s">
        <v>132</v>
      </c>
      <c r="F47" s="44">
        <f>'2025 Budget Worksheet '!I48</f>
        <v>0</v>
      </c>
    </row>
    <row r="48" spans="1:7" x14ac:dyDescent="0.25">
      <c r="A48" s="4" t="s">
        <v>128</v>
      </c>
      <c r="B48" s="77">
        <v>-181.43</v>
      </c>
      <c r="C48" s="78">
        <f>B48/10*12</f>
        <v>-217.71600000000001</v>
      </c>
      <c r="D48" s="60"/>
      <c r="E48" s="130" t="s">
        <v>133</v>
      </c>
      <c r="F48" s="45">
        <f>'2025 Budget Worksheet '!I49</f>
        <v>-200</v>
      </c>
    </row>
    <row r="49" spans="1:6" x14ac:dyDescent="0.25">
      <c r="A49" s="6" t="s">
        <v>101</v>
      </c>
      <c r="B49" s="80">
        <f t="shared" ref="B49:D49" si="9">SUM(B46:B48)</f>
        <v>-181.43</v>
      </c>
      <c r="C49" s="80">
        <f t="shared" si="9"/>
        <v>-217.71600000000001</v>
      </c>
      <c r="D49" s="52">
        <f t="shared" si="9"/>
        <v>0</v>
      </c>
      <c r="E49" s="109" t="s">
        <v>101</v>
      </c>
      <c r="F49" s="113">
        <f>SUM(F46:F48)</f>
        <v>-200</v>
      </c>
    </row>
    <row r="50" spans="1:6" x14ac:dyDescent="0.25">
      <c r="A50" s="6"/>
      <c r="B50" s="80"/>
      <c r="C50" s="76"/>
      <c r="D50" s="52"/>
      <c r="E50" s="6"/>
      <c r="F50" s="46"/>
    </row>
    <row r="51" spans="1:6" x14ac:dyDescent="0.25">
      <c r="A51" s="4" t="s">
        <v>102</v>
      </c>
      <c r="B51" s="76">
        <v>0</v>
      </c>
      <c r="C51" s="76">
        <f>B51/9*12</f>
        <v>0</v>
      </c>
      <c r="D51" s="55">
        <v>0</v>
      </c>
      <c r="E51" s="5" t="s">
        <v>102</v>
      </c>
      <c r="F51" s="44">
        <f>'2025 Budget Worksheet '!I52</f>
        <v>0</v>
      </c>
    </row>
    <row r="52" spans="1:6" x14ac:dyDescent="0.25">
      <c r="A52" s="4" t="s">
        <v>103</v>
      </c>
      <c r="B52" s="76">
        <v>0</v>
      </c>
      <c r="C52" s="76">
        <f>B52/9*12</f>
        <v>0</v>
      </c>
      <c r="D52" s="55">
        <v>0</v>
      </c>
      <c r="E52" s="5" t="s">
        <v>103</v>
      </c>
      <c r="F52" s="44">
        <f>'2025 Budget Worksheet '!I53</f>
        <v>0</v>
      </c>
    </row>
    <row r="53" spans="1:6" x14ac:dyDescent="0.25">
      <c r="A53" s="4" t="s">
        <v>104</v>
      </c>
      <c r="B53" s="77">
        <v>0</v>
      </c>
      <c r="C53" s="78">
        <f>B53/9*12</f>
        <v>0</v>
      </c>
      <c r="D53" s="60">
        <v>0</v>
      </c>
      <c r="E53" s="130" t="s">
        <v>104</v>
      </c>
      <c r="F53" s="45">
        <f>'2025 Budget Worksheet '!I54</f>
        <v>0</v>
      </c>
    </row>
    <row r="54" spans="1:6" x14ac:dyDescent="0.25">
      <c r="A54" s="138" t="s">
        <v>105</v>
      </c>
      <c r="B54" s="81">
        <f t="shared" ref="B54:D54" si="10">SUM(B51:B53)</f>
        <v>0</v>
      </c>
      <c r="C54" s="81">
        <f t="shared" si="10"/>
        <v>0</v>
      </c>
      <c r="D54" s="139">
        <f t="shared" si="10"/>
        <v>0</v>
      </c>
      <c r="E54" s="140" t="s">
        <v>105</v>
      </c>
      <c r="F54" s="141">
        <f>'2025 Budget Worksheet '!I55</f>
        <v>0</v>
      </c>
    </row>
    <row r="55" spans="1:6" ht="28.15" customHeight="1" x14ac:dyDescent="0.25">
      <c r="A55" s="134" t="s">
        <v>222</v>
      </c>
      <c r="B55" s="135">
        <f>(((((B14)+(B18))+(B23))+(B31))+(B36))++B40+B44+B49+B54</f>
        <v>33586.01</v>
      </c>
      <c r="C55" s="135">
        <f>(((((C14)+(C18))+(C23))+(C31))+(C36))++C40+C44+C49+C54</f>
        <v>35391.782666666666</v>
      </c>
      <c r="D55" s="136">
        <f>(((((D14)+(D18))+(D23))+(D31))+(D36))+D40+D44+D49+D54</f>
        <v>3446.0200000000004</v>
      </c>
      <c r="E55" s="134" t="s">
        <v>222</v>
      </c>
      <c r="F55" s="137">
        <f>F18+F23+F31+F36+F40+F44+F49+F54</f>
        <v>26643.23</v>
      </c>
    </row>
    <row r="56" spans="1:6" x14ac:dyDescent="0.25">
      <c r="A56" s="3" t="s">
        <v>29</v>
      </c>
      <c r="B56" s="76"/>
      <c r="C56" s="76"/>
      <c r="D56" s="55"/>
      <c r="E56" s="3" t="s">
        <v>29</v>
      </c>
      <c r="F56" s="44"/>
    </row>
    <row r="57" spans="1:6" x14ac:dyDescent="0.25">
      <c r="A57" s="5" t="s">
        <v>75</v>
      </c>
      <c r="B57" s="76"/>
      <c r="C57" s="76">
        <f t="shared" ref="C57:C62" si="11">B57/9*12</f>
        <v>0</v>
      </c>
      <c r="D57" s="55">
        <v>0</v>
      </c>
      <c r="E57" s="5" t="s">
        <v>75</v>
      </c>
      <c r="F57" s="44">
        <f>'2025 Budget Worksheet '!I59</f>
        <v>0</v>
      </c>
    </row>
    <row r="58" spans="1:6" ht="17.25" customHeight="1" x14ac:dyDescent="0.25">
      <c r="A58" s="5" t="s">
        <v>30</v>
      </c>
      <c r="B58" s="76">
        <v>18313</v>
      </c>
      <c r="C58" s="76">
        <f>B58/10*12</f>
        <v>21975.599999999999</v>
      </c>
      <c r="D58" s="55">
        <v>56695.76</v>
      </c>
      <c r="E58" s="5" t="s">
        <v>158</v>
      </c>
      <c r="F58" s="44">
        <f>'2025 Budget Worksheet '!I60</f>
        <v>54000</v>
      </c>
    </row>
    <row r="59" spans="1:6" ht="17.25" customHeight="1" x14ac:dyDescent="0.25">
      <c r="A59" s="120" t="s">
        <v>156</v>
      </c>
      <c r="B59" s="76">
        <v>-1050</v>
      </c>
      <c r="C59" s="76"/>
      <c r="D59" s="55"/>
      <c r="E59" s="5"/>
      <c r="F59" s="44">
        <f>'2025 Budget Worksheet '!I61</f>
        <v>0</v>
      </c>
    </row>
    <row r="60" spans="1:6" ht="17.45" customHeight="1" x14ac:dyDescent="0.25">
      <c r="A60" s="5" t="s">
        <v>106</v>
      </c>
      <c r="B60" s="76">
        <v>925</v>
      </c>
      <c r="C60" s="76">
        <f>B60/10*12</f>
        <v>1110</v>
      </c>
      <c r="D60" s="55">
        <v>4800</v>
      </c>
      <c r="E60" s="5" t="s">
        <v>160</v>
      </c>
      <c r="F60" s="44">
        <f>'2025 Budget Worksheet '!I62</f>
        <v>1000</v>
      </c>
    </row>
    <row r="61" spans="1:6" ht="17.45" customHeight="1" x14ac:dyDescent="0.25">
      <c r="A61" s="5" t="s">
        <v>134</v>
      </c>
      <c r="B61" s="76">
        <v>0</v>
      </c>
      <c r="C61" s="76">
        <f t="shared" si="11"/>
        <v>0</v>
      </c>
      <c r="D61" s="55">
        <v>2300</v>
      </c>
      <c r="E61" s="5" t="s">
        <v>134</v>
      </c>
      <c r="F61" s="44">
        <f>'2025 Budget Worksheet '!I63</f>
        <v>0</v>
      </c>
    </row>
    <row r="62" spans="1:6" ht="17.45" customHeight="1" x14ac:dyDescent="0.25">
      <c r="A62" s="5" t="s">
        <v>135</v>
      </c>
      <c r="B62" s="76">
        <v>0</v>
      </c>
      <c r="C62" s="76">
        <f t="shared" si="11"/>
        <v>0</v>
      </c>
      <c r="D62" s="55">
        <v>-575</v>
      </c>
      <c r="E62" s="5" t="s">
        <v>135</v>
      </c>
      <c r="F62" s="44">
        <f>'2025 Budget Worksheet '!I64</f>
        <v>0</v>
      </c>
    </row>
    <row r="63" spans="1:6" x14ac:dyDescent="0.25">
      <c r="A63" s="51" t="s">
        <v>80</v>
      </c>
      <c r="B63" s="77">
        <v>7764.6</v>
      </c>
      <c r="C63" s="78">
        <f>B63/10*12</f>
        <v>9317.52</v>
      </c>
      <c r="D63" s="60">
        <v>9317.52</v>
      </c>
      <c r="E63" s="142" t="s">
        <v>80</v>
      </c>
      <c r="F63" s="44">
        <f>'2025 Budget Worksheet '!I65</f>
        <v>9317.52</v>
      </c>
    </row>
    <row r="64" spans="1:6" ht="28.9" customHeight="1" x14ac:dyDescent="0.25">
      <c r="A64" s="131" t="s">
        <v>31</v>
      </c>
      <c r="B64" s="132">
        <f>SUM(B57:B63)</f>
        <v>25952.6</v>
      </c>
      <c r="C64" s="132">
        <f t="shared" ref="C64:D64" si="12">SUM(C57:C63)</f>
        <v>32403.119999999999</v>
      </c>
      <c r="D64" s="133">
        <f t="shared" si="12"/>
        <v>72538.28</v>
      </c>
      <c r="E64" s="131" t="s">
        <v>31</v>
      </c>
      <c r="F64" s="129">
        <f>SUM(F57:F63)</f>
        <v>64317.520000000004</v>
      </c>
    </row>
    <row r="65" spans="1:6" x14ac:dyDescent="0.25">
      <c r="A65" s="3" t="s">
        <v>32</v>
      </c>
      <c r="B65" s="76"/>
      <c r="C65" s="76"/>
      <c r="D65" s="55"/>
      <c r="E65" s="3" t="s">
        <v>32</v>
      </c>
      <c r="F65" s="44"/>
    </row>
    <row r="66" spans="1:6" x14ac:dyDescent="0.25">
      <c r="A66" s="5" t="s">
        <v>33</v>
      </c>
      <c r="B66" s="76"/>
      <c r="C66" s="76">
        <f>B66/9*12</f>
        <v>0</v>
      </c>
      <c r="D66" s="56">
        <v>7300</v>
      </c>
      <c r="E66" s="5" t="s">
        <v>33</v>
      </c>
      <c r="F66" s="25">
        <f>'2025 Budget Worksheet '!I68</f>
        <v>7500</v>
      </c>
    </row>
    <row r="67" spans="1:6" ht="14.45" customHeight="1" x14ac:dyDescent="0.25">
      <c r="A67" s="5" t="s">
        <v>34</v>
      </c>
      <c r="B67" s="76"/>
      <c r="C67" s="76">
        <f>B67/9*12</f>
        <v>0</v>
      </c>
      <c r="D67" s="59">
        <v>-750</v>
      </c>
      <c r="E67" s="5" t="s">
        <v>34</v>
      </c>
      <c r="F67" s="25">
        <f>'2025 Budget Worksheet '!I69</f>
        <v>0</v>
      </c>
    </row>
    <row r="68" spans="1:6" ht="14.45" customHeight="1" x14ac:dyDescent="0.25">
      <c r="A68" s="5" t="s">
        <v>136</v>
      </c>
      <c r="B68" s="76">
        <v>100</v>
      </c>
      <c r="C68" s="76">
        <f>B68</f>
        <v>100</v>
      </c>
      <c r="D68" s="64">
        <v>5250</v>
      </c>
      <c r="E68" s="5" t="s">
        <v>136</v>
      </c>
      <c r="F68" s="25">
        <f>'2025 Budget Worksheet '!I70</f>
        <v>0</v>
      </c>
    </row>
    <row r="69" spans="1:6" ht="14.45" customHeight="1" x14ac:dyDescent="0.25">
      <c r="A69" s="51" t="s">
        <v>137</v>
      </c>
      <c r="B69" s="77"/>
      <c r="C69" s="78">
        <f>B69/9*12</f>
        <v>0</v>
      </c>
      <c r="D69" s="58">
        <v>-525</v>
      </c>
      <c r="E69" s="130" t="s">
        <v>137</v>
      </c>
      <c r="F69" s="26">
        <f>'2025 Budget Worksheet '!I71</f>
        <v>0</v>
      </c>
    </row>
    <row r="70" spans="1:6" ht="29.45" customHeight="1" x14ac:dyDescent="0.25">
      <c r="A70" s="134" t="s">
        <v>35</v>
      </c>
      <c r="B70" s="143">
        <f>SUM(B66:B69)</f>
        <v>100</v>
      </c>
      <c r="C70" s="143">
        <f>SUM(C66:C69)</f>
        <v>100</v>
      </c>
      <c r="D70" s="144">
        <f>SUM(D66:D69)</f>
        <v>11275</v>
      </c>
      <c r="E70" s="134" t="s">
        <v>35</v>
      </c>
      <c r="F70" s="144">
        <f>SUM(F66:F69)</f>
        <v>7500</v>
      </c>
    </row>
    <row r="71" spans="1:6" x14ac:dyDescent="0.25">
      <c r="A71" s="3" t="s">
        <v>36</v>
      </c>
      <c r="B71" s="76"/>
      <c r="C71" s="76"/>
      <c r="D71" s="55"/>
      <c r="E71" s="3" t="s">
        <v>36</v>
      </c>
      <c r="F71" s="44"/>
    </row>
    <row r="72" spans="1:6" x14ac:dyDescent="0.25">
      <c r="A72" s="5" t="s">
        <v>37</v>
      </c>
      <c r="B72" s="76">
        <v>1575</v>
      </c>
      <c r="C72" s="76">
        <f>B72/10*12</f>
        <v>1890</v>
      </c>
      <c r="D72" s="55">
        <v>0</v>
      </c>
      <c r="E72" s="5" t="s">
        <v>37</v>
      </c>
      <c r="F72" s="44">
        <f>'2025 Budget Worksheet '!I75</f>
        <v>2000</v>
      </c>
    </row>
    <row r="73" spans="1:6" x14ac:dyDescent="0.25">
      <c r="A73" s="5" t="s">
        <v>38</v>
      </c>
      <c r="B73" s="76">
        <v>975</v>
      </c>
      <c r="C73" s="76">
        <f>B73/10*12</f>
        <v>1170</v>
      </c>
      <c r="D73" s="55">
        <v>0</v>
      </c>
      <c r="E73" s="5" t="s">
        <v>38</v>
      </c>
      <c r="F73" s="44">
        <f>'2025 Budget Worksheet '!I76</f>
        <v>1000</v>
      </c>
    </row>
    <row r="74" spans="1:6" x14ac:dyDescent="0.25">
      <c r="A74" s="5" t="s">
        <v>39</v>
      </c>
      <c r="B74" s="77">
        <v>-1005.62</v>
      </c>
      <c r="C74" s="78">
        <f>B74/10*12</f>
        <v>-1206.7439999999999</v>
      </c>
      <c r="D74" s="60">
        <v>0</v>
      </c>
      <c r="E74" s="130" t="s">
        <v>39</v>
      </c>
      <c r="F74" s="45">
        <f>'2025 Budget Worksheet '!I77</f>
        <v>-1200</v>
      </c>
    </row>
    <row r="75" spans="1:6" x14ac:dyDescent="0.25">
      <c r="A75" s="6" t="s">
        <v>40</v>
      </c>
      <c r="B75" s="87">
        <f t="shared" ref="B75:C75" si="13">SUM(B72:B74)</f>
        <v>1544.38</v>
      </c>
      <c r="C75" s="87">
        <f t="shared" si="13"/>
        <v>1853.2560000000001</v>
      </c>
      <c r="D75" s="65">
        <f>SUM(D72:D74)</f>
        <v>0</v>
      </c>
      <c r="E75" s="109" t="s">
        <v>40</v>
      </c>
      <c r="F75" s="114">
        <f>SUM(F72:F74)</f>
        <v>1800</v>
      </c>
    </row>
    <row r="76" spans="1:6" x14ac:dyDescent="0.25">
      <c r="A76" s="3"/>
      <c r="B76" s="76"/>
      <c r="C76" s="76"/>
      <c r="D76" s="55"/>
      <c r="E76" s="3"/>
      <c r="F76" s="44"/>
    </row>
    <row r="77" spans="1:6" x14ac:dyDescent="0.25">
      <c r="A77" s="5" t="s">
        <v>41</v>
      </c>
      <c r="B77" s="76">
        <v>5275</v>
      </c>
      <c r="C77" s="76">
        <f>B77/10*12</f>
        <v>6330</v>
      </c>
      <c r="D77" s="55">
        <v>7000</v>
      </c>
      <c r="E77" s="5" t="s">
        <v>41</v>
      </c>
      <c r="F77" s="44">
        <f>'2025 Budget Worksheet '!I80</f>
        <v>8200</v>
      </c>
    </row>
    <row r="78" spans="1:6" x14ac:dyDescent="0.25">
      <c r="A78" s="5" t="s">
        <v>42</v>
      </c>
      <c r="B78" s="76">
        <v>10050</v>
      </c>
      <c r="C78" s="76">
        <f>B78/10*12</f>
        <v>12060</v>
      </c>
      <c r="D78" s="55">
        <v>13500</v>
      </c>
      <c r="E78" s="5" t="s">
        <v>42</v>
      </c>
      <c r="F78" s="44">
        <f>'2025 Budget Worksheet '!I81</f>
        <v>12150</v>
      </c>
    </row>
    <row r="79" spans="1:6" x14ac:dyDescent="0.25">
      <c r="A79" s="5" t="s">
        <v>43</v>
      </c>
      <c r="B79" s="77">
        <v>-8984.32</v>
      </c>
      <c r="C79" s="78">
        <f>B79/10*12</f>
        <v>-10781.184000000001</v>
      </c>
      <c r="D79" s="60">
        <v>-10600</v>
      </c>
      <c r="E79" s="130" t="s">
        <v>43</v>
      </c>
      <c r="F79" s="45">
        <f>'2025 Budget Worksheet '!I82</f>
        <v>-15000</v>
      </c>
    </row>
    <row r="80" spans="1:6" x14ac:dyDescent="0.25">
      <c r="A80" s="6" t="s">
        <v>44</v>
      </c>
      <c r="B80" s="82">
        <f t="shared" ref="B80:C80" si="14">SUM(B77:B79)</f>
        <v>6340.68</v>
      </c>
      <c r="C80" s="82">
        <f t="shared" si="14"/>
        <v>7608.8159999999989</v>
      </c>
      <c r="D80" s="52">
        <f>SUM(D77:D79)</f>
        <v>9900</v>
      </c>
      <c r="E80" s="109" t="s">
        <v>44</v>
      </c>
      <c r="F80" s="110">
        <f>SUM(F77:F79)</f>
        <v>5350</v>
      </c>
    </row>
    <row r="81" spans="1:6" x14ac:dyDescent="0.25">
      <c r="A81" s="3"/>
      <c r="B81" s="76"/>
      <c r="C81" s="76"/>
      <c r="D81" s="55"/>
      <c r="E81" s="3"/>
      <c r="F81" s="44"/>
    </row>
    <row r="82" spans="1:6" x14ac:dyDescent="0.25">
      <c r="A82" s="5" t="s">
        <v>71</v>
      </c>
      <c r="B82" s="76"/>
      <c r="C82" s="76"/>
      <c r="D82" s="56">
        <v>0</v>
      </c>
      <c r="E82" s="5" t="s">
        <v>71</v>
      </c>
      <c r="F82" s="25">
        <f>'2025 Budget Worksheet '!I85</f>
        <v>1000</v>
      </c>
    </row>
    <row r="83" spans="1:6" ht="15" customHeight="1" x14ac:dyDescent="0.25">
      <c r="A83" s="5" t="s">
        <v>45</v>
      </c>
      <c r="B83" s="76">
        <v>3775</v>
      </c>
      <c r="C83" s="76">
        <f>B83/10*12</f>
        <v>4530</v>
      </c>
      <c r="D83" s="56">
        <v>1000</v>
      </c>
      <c r="E83" s="5" t="s">
        <v>45</v>
      </c>
      <c r="F83" s="25">
        <f>'2025 Budget Worksheet '!I86</f>
        <v>4500</v>
      </c>
    </row>
    <row r="84" spans="1:6" x14ac:dyDescent="0.25">
      <c r="A84" s="5" t="s">
        <v>46</v>
      </c>
      <c r="B84" s="77">
        <v>-3920.08</v>
      </c>
      <c r="C84" s="78">
        <f>B84/9*12</f>
        <v>-5226.7733333333335</v>
      </c>
      <c r="D84" s="58">
        <v>-150</v>
      </c>
      <c r="E84" s="130" t="s">
        <v>46</v>
      </c>
      <c r="F84" s="45">
        <f>'2025 Budget Worksheet '!I87</f>
        <v>-4500</v>
      </c>
    </row>
    <row r="85" spans="1:6" x14ac:dyDescent="0.25">
      <c r="A85" s="6" t="s">
        <v>47</v>
      </c>
      <c r="B85" s="83">
        <f t="shared" ref="B85:D85" si="15">SUM(B83:B84)</f>
        <v>-145.07999999999993</v>
      </c>
      <c r="C85" s="83">
        <f t="shared" si="15"/>
        <v>-696.77333333333354</v>
      </c>
      <c r="D85" s="52">
        <f t="shared" si="15"/>
        <v>850</v>
      </c>
      <c r="E85" s="109" t="s">
        <v>47</v>
      </c>
      <c r="F85" s="110">
        <f>SUM(F82:F84)</f>
        <v>1000</v>
      </c>
    </row>
    <row r="86" spans="1:6" x14ac:dyDescent="0.25">
      <c r="A86" s="3"/>
      <c r="B86" s="76"/>
      <c r="C86" s="76"/>
      <c r="D86" s="55"/>
      <c r="E86" s="3"/>
      <c r="F86" s="44"/>
    </row>
    <row r="87" spans="1:6" ht="13.35" customHeight="1" x14ac:dyDescent="0.25">
      <c r="A87" s="5" t="s">
        <v>48</v>
      </c>
      <c r="B87" s="76">
        <v>0</v>
      </c>
      <c r="C87" s="76">
        <f>B87/9*12</f>
        <v>0</v>
      </c>
      <c r="D87" s="55"/>
      <c r="E87" s="5" t="s">
        <v>48</v>
      </c>
      <c r="F87" s="44">
        <f>'2025 Budget Worksheet '!I90</f>
        <v>0</v>
      </c>
    </row>
    <row r="88" spans="1:6" x14ac:dyDescent="0.25">
      <c r="A88" s="5" t="s">
        <v>49</v>
      </c>
      <c r="B88" s="77">
        <v>0</v>
      </c>
      <c r="C88" s="78">
        <f>B88/9*12</f>
        <v>0</v>
      </c>
      <c r="D88" s="60"/>
      <c r="E88" s="145" t="s">
        <v>49</v>
      </c>
      <c r="F88" s="45">
        <f>'2025 Budget Worksheet '!I91</f>
        <v>0</v>
      </c>
    </row>
    <row r="89" spans="1:6" x14ac:dyDescent="0.25">
      <c r="A89" s="6" t="s">
        <v>50</v>
      </c>
      <c r="B89" s="80">
        <f>SUM(B87:B88)</f>
        <v>0</v>
      </c>
      <c r="C89" s="80">
        <f>SUM(C87:C88)</f>
        <v>0</v>
      </c>
      <c r="D89" s="62">
        <f>SUM(D87:D88)</f>
        <v>0</v>
      </c>
      <c r="E89" s="115" t="s">
        <v>50</v>
      </c>
      <c r="F89" s="113">
        <f>SUM(F87:F88)</f>
        <v>0</v>
      </c>
    </row>
    <row r="90" spans="1:6" x14ac:dyDescent="0.25">
      <c r="A90" s="6"/>
      <c r="B90" s="76"/>
      <c r="C90" s="76"/>
      <c r="D90" s="55"/>
      <c r="E90" s="6"/>
      <c r="F90" s="44"/>
    </row>
    <row r="91" spans="1:6" x14ac:dyDescent="0.25">
      <c r="A91" s="5" t="s">
        <v>72</v>
      </c>
      <c r="B91" s="76">
        <v>0</v>
      </c>
      <c r="C91" s="76">
        <v>0</v>
      </c>
      <c r="D91" s="55"/>
      <c r="E91" s="5" t="s">
        <v>72</v>
      </c>
      <c r="F91" s="44">
        <f>'2025 Budget Worksheet '!I94</f>
        <v>0</v>
      </c>
    </row>
    <row r="92" spans="1:6" ht="15" customHeight="1" x14ac:dyDescent="0.25">
      <c r="A92" s="5" t="s">
        <v>73</v>
      </c>
      <c r="B92" s="76">
        <v>0</v>
      </c>
      <c r="C92" s="76">
        <v>0</v>
      </c>
      <c r="D92" s="55"/>
      <c r="E92" s="5" t="s">
        <v>73</v>
      </c>
      <c r="F92" s="44">
        <f>'2025 Budget Worksheet '!I95</f>
        <v>0</v>
      </c>
    </row>
    <row r="93" spans="1:6" x14ac:dyDescent="0.25">
      <c r="A93" s="5" t="s">
        <v>74</v>
      </c>
      <c r="B93" s="77">
        <v>0</v>
      </c>
      <c r="C93" s="78">
        <v>0</v>
      </c>
      <c r="D93" s="60"/>
      <c r="E93" s="130" t="s">
        <v>74</v>
      </c>
      <c r="F93" s="45">
        <f>'2025 Budget Worksheet '!I96</f>
        <v>0</v>
      </c>
    </row>
    <row r="94" spans="1:6" x14ac:dyDescent="0.25">
      <c r="A94" s="138" t="s">
        <v>76</v>
      </c>
      <c r="B94" s="84">
        <f>SUM(B91:B93)</f>
        <v>0</v>
      </c>
      <c r="C94" s="84">
        <f>SUM(C91:C93)</f>
        <v>0</v>
      </c>
      <c r="D94" s="66">
        <f>SUM(D91:D93)</f>
        <v>0</v>
      </c>
      <c r="E94" s="146" t="s">
        <v>76</v>
      </c>
      <c r="F94" s="147">
        <f>SUM(F91:F93)</f>
        <v>0</v>
      </c>
    </row>
    <row r="95" spans="1:6" ht="28.9" customHeight="1" x14ac:dyDescent="0.25">
      <c r="A95" s="148" t="s">
        <v>223</v>
      </c>
      <c r="B95" s="149">
        <f t="shared" ref="B95:D95" si="16">((((B71)+(B75))+(B80))+(B85))+(B89)+B94</f>
        <v>7739.9800000000005</v>
      </c>
      <c r="C95" s="149">
        <f t="shared" si="16"/>
        <v>8765.2986666666657</v>
      </c>
      <c r="D95" s="150">
        <f t="shared" si="16"/>
        <v>10750</v>
      </c>
      <c r="E95" s="151" t="s">
        <v>224</v>
      </c>
      <c r="F95" s="152">
        <f>F94+F89+F85+F80+F75</f>
        <v>8150</v>
      </c>
    </row>
    <row r="96" spans="1:6" ht="15.75" thickBot="1" x14ac:dyDescent="0.3">
      <c r="A96" s="3"/>
      <c r="B96" s="11"/>
      <c r="C96" s="11"/>
      <c r="D96" s="55"/>
      <c r="E96" s="3"/>
      <c r="F96" s="44"/>
    </row>
    <row r="97" spans="1:7" ht="28.9" customHeight="1" thickBot="1" x14ac:dyDescent="0.3">
      <c r="A97" s="160" t="s">
        <v>2</v>
      </c>
      <c r="B97" s="153">
        <f>((((B13)+(B55))+(B64))+(B70))+(B95)</f>
        <v>153494.59000000003</v>
      </c>
      <c r="C97" s="153">
        <f>((((C13)+(C55))+(C64))+(C70))+(C95)</f>
        <v>179999.40133333334</v>
      </c>
      <c r="D97" s="154">
        <f>((((D13)+(D55))+(D64))+(D70))+(D95)</f>
        <v>256764.55</v>
      </c>
      <c r="E97" s="161" t="s">
        <v>2</v>
      </c>
      <c r="F97" s="155">
        <f>F13+F55+F95+F70+F64</f>
        <v>220190.91320000001</v>
      </c>
    </row>
    <row r="98" spans="1:7" x14ac:dyDescent="0.25">
      <c r="A98" s="3"/>
      <c r="B98" s="11"/>
      <c r="C98" s="11"/>
      <c r="D98" s="55"/>
      <c r="E98" s="3"/>
      <c r="F98" s="44"/>
    </row>
    <row r="99" spans="1:7" ht="18" x14ac:dyDescent="0.25">
      <c r="A99" s="156" t="s">
        <v>4</v>
      </c>
      <c r="B99" s="84"/>
      <c r="C99" s="84"/>
      <c r="D99" s="157"/>
      <c r="E99" s="158" t="s">
        <v>4</v>
      </c>
      <c r="F99" s="159"/>
    </row>
    <row r="100" spans="1:7" x14ac:dyDescent="0.25">
      <c r="A100" s="3"/>
      <c r="B100" s="76"/>
      <c r="C100" s="76"/>
      <c r="D100" s="55"/>
      <c r="E100" s="3"/>
      <c r="F100" s="44"/>
    </row>
    <row r="101" spans="1:7" x14ac:dyDescent="0.25">
      <c r="A101" s="5" t="s">
        <v>51</v>
      </c>
      <c r="B101" s="76">
        <v>236</v>
      </c>
      <c r="C101" s="76">
        <f>B101/10*12</f>
        <v>283.20000000000005</v>
      </c>
      <c r="D101" s="55">
        <v>4200</v>
      </c>
      <c r="E101" s="5" t="s">
        <v>51</v>
      </c>
      <c r="F101" s="44">
        <f>'2025 Budget Worksheet '!I104</f>
        <v>283.20000000000005</v>
      </c>
    </row>
    <row r="102" spans="1:7" x14ac:dyDescent="0.25">
      <c r="A102" s="5" t="s">
        <v>52</v>
      </c>
      <c r="B102" s="76">
        <v>11750</v>
      </c>
      <c r="C102" s="76">
        <f t="shared" ref="C102:C118" si="17">B102/10*12</f>
        <v>14100</v>
      </c>
      <c r="D102" s="55">
        <v>14400</v>
      </c>
      <c r="E102" s="5" t="s">
        <v>52</v>
      </c>
      <c r="F102" s="44">
        <f>'2025 Budget Worksheet '!I105</f>
        <v>14100</v>
      </c>
    </row>
    <row r="103" spans="1:7" x14ac:dyDescent="0.25">
      <c r="A103" s="5" t="s">
        <v>81</v>
      </c>
      <c r="B103" s="76">
        <v>0</v>
      </c>
      <c r="C103" s="76">
        <f t="shared" si="17"/>
        <v>0</v>
      </c>
      <c r="D103" s="55">
        <v>0</v>
      </c>
      <c r="E103" s="5" t="s">
        <v>81</v>
      </c>
      <c r="F103" s="44">
        <f>'2025 Budget Worksheet '!I106</f>
        <v>0</v>
      </c>
    </row>
    <row r="104" spans="1:7" x14ac:dyDescent="0.25">
      <c r="A104" s="5" t="s">
        <v>53</v>
      </c>
      <c r="B104" s="76">
        <v>450</v>
      </c>
      <c r="C104" s="76">
        <f t="shared" si="17"/>
        <v>540</v>
      </c>
      <c r="D104" s="55">
        <v>0</v>
      </c>
      <c r="E104" s="5" t="s">
        <v>53</v>
      </c>
      <c r="F104" s="44">
        <f>'2025 Budget Worksheet '!I107</f>
        <v>540</v>
      </c>
    </row>
    <row r="105" spans="1:7" ht="17.100000000000001" customHeight="1" x14ac:dyDescent="0.25">
      <c r="A105" s="5" t="s">
        <v>54</v>
      </c>
      <c r="B105" s="76">
        <v>2890.99</v>
      </c>
      <c r="C105" s="76">
        <f t="shared" si="17"/>
        <v>3469.1880000000001</v>
      </c>
      <c r="D105" s="55">
        <v>4433</v>
      </c>
      <c r="E105" s="5" t="s">
        <v>54</v>
      </c>
      <c r="F105" s="44">
        <f>'2025 Budget Worksheet '!I108</f>
        <v>4163.0255999999999</v>
      </c>
      <c r="G105" s="89"/>
    </row>
    <row r="106" spans="1:7" x14ac:dyDescent="0.25">
      <c r="A106" s="5" t="s">
        <v>55</v>
      </c>
      <c r="B106" s="76">
        <v>3162.92</v>
      </c>
      <c r="C106" s="76">
        <f t="shared" si="17"/>
        <v>3795.5040000000004</v>
      </c>
      <c r="D106" s="55">
        <v>3000</v>
      </c>
      <c r="E106" s="5" t="s">
        <v>55</v>
      </c>
      <c r="F106" s="44">
        <f>'2025 Budget Worksheet '!I109</f>
        <v>2500</v>
      </c>
    </row>
    <row r="107" spans="1:7" x14ac:dyDescent="0.25">
      <c r="A107" s="5" t="s">
        <v>56</v>
      </c>
      <c r="B107" s="76">
        <v>1472.76</v>
      </c>
      <c r="C107" s="76">
        <f t="shared" si="17"/>
        <v>1767.3120000000001</v>
      </c>
      <c r="D107" s="55">
        <v>2000</v>
      </c>
      <c r="E107" s="5" t="s">
        <v>56</v>
      </c>
      <c r="F107" s="44">
        <f>'2025 Budget Worksheet '!I110</f>
        <v>1767.3120000000001</v>
      </c>
    </row>
    <row r="108" spans="1:7" x14ac:dyDescent="0.25">
      <c r="A108" s="5" t="s">
        <v>129</v>
      </c>
      <c r="B108" s="76">
        <v>504.2</v>
      </c>
      <c r="C108" s="76">
        <f t="shared" si="17"/>
        <v>605.04</v>
      </c>
      <c r="D108" s="55"/>
      <c r="E108" s="5"/>
      <c r="F108" s="44">
        <f>'2025 Budget Worksheet '!I111</f>
        <v>605.04</v>
      </c>
    </row>
    <row r="109" spans="1:7" x14ac:dyDescent="0.25">
      <c r="A109" s="5" t="s">
        <v>57</v>
      </c>
      <c r="B109" s="76">
        <v>283.18</v>
      </c>
      <c r="C109" s="76">
        <f t="shared" si="17"/>
        <v>339.81600000000003</v>
      </c>
      <c r="D109" s="55">
        <v>600</v>
      </c>
      <c r="E109" s="5" t="s">
        <v>57</v>
      </c>
      <c r="F109" s="44">
        <f>'2025 Budget Worksheet '!I112</f>
        <v>339.81600000000003</v>
      </c>
    </row>
    <row r="110" spans="1:7" x14ac:dyDescent="0.25">
      <c r="A110" s="5" t="s">
        <v>58</v>
      </c>
      <c r="B110" s="76">
        <v>964.34</v>
      </c>
      <c r="C110" s="76">
        <f t="shared" si="17"/>
        <v>1157.2080000000001</v>
      </c>
      <c r="D110" s="55">
        <v>2100</v>
      </c>
      <c r="E110" s="5" t="s">
        <v>58</v>
      </c>
      <c r="F110" s="44">
        <f>'2025 Budget Worksheet '!I113</f>
        <v>1157.2080000000001</v>
      </c>
    </row>
    <row r="111" spans="1:7" x14ac:dyDescent="0.25">
      <c r="A111" s="5" t="s">
        <v>83</v>
      </c>
      <c r="B111" s="76">
        <v>54.64</v>
      </c>
      <c r="C111" s="76">
        <f t="shared" si="17"/>
        <v>65.568000000000012</v>
      </c>
      <c r="D111" s="55">
        <v>0</v>
      </c>
      <c r="E111" s="5" t="s">
        <v>83</v>
      </c>
      <c r="F111" s="44">
        <f>'2025 Budget Worksheet '!I114</f>
        <v>65.568000000000012</v>
      </c>
    </row>
    <row r="112" spans="1:7" x14ac:dyDescent="0.25">
      <c r="A112" s="5" t="s">
        <v>59</v>
      </c>
      <c r="B112" s="76">
        <v>709.13</v>
      </c>
      <c r="C112" s="76">
        <f t="shared" si="17"/>
        <v>850.9559999999999</v>
      </c>
      <c r="D112" s="55">
        <v>3535.43</v>
      </c>
      <c r="E112" s="5" t="s">
        <v>59</v>
      </c>
      <c r="F112" s="44">
        <f>'2025 Budget Worksheet '!I115</f>
        <v>850.9559999999999</v>
      </c>
    </row>
    <row r="113" spans="1:9" x14ac:dyDescent="0.25">
      <c r="A113" s="5" t="s">
        <v>60</v>
      </c>
      <c r="B113" s="76">
        <v>1184.51</v>
      </c>
      <c r="C113" s="76">
        <f t="shared" si="17"/>
        <v>1421.4119999999998</v>
      </c>
      <c r="D113" s="55">
        <v>1219.75</v>
      </c>
      <c r="E113" s="5" t="s">
        <v>60</v>
      </c>
      <c r="F113" s="44">
        <f>'2025 Budget Worksheet '!I116</f>
        <v>1400</v>
      </c>
    </row>
    <row r="114" spans="1:9" x14ac:dyDescent="0.25">
      <c r="A114" s="5" t="s">
        <v>61</v>
      </c>
      <c r="B114" s="76">
        <v>7317.56</v>
      </c>
      <c r="C114" s="76">
        <f t="shared" si="17"/>
        <v>8781.0720000000001</v>
      </c>
      <c r="D114" s="55">
        <v>11365.2</v>
      </c>
      <c r="E114" s="5" t="s">
        <v>61</v>
      </c>
      <c r="F114" s="44">
        <f>'2025 Budget Worksheet '!I117</f>
        <v>13127.99388</v>
      </c>
    </row>
    <row r="115" spans="1:9" x14ac:dyDescent="0.25">
      <c r="A115" s="5" t="s">
        <v>62</v>
      </c>
      <c r="B115" s="76">
        <v>1076.24</v>
      </c>
      <c r="C115" s="76">
        <f t="shared" si="17"/>
        <v>1291.4879999999998</v>
      </c>
      <c r="D115" s="55">
        <v>1302.67</v>
      </c>
      <c r="E115" s="5" t="s">
        <v>62</v>
      </c>
      <c r="F115" s="44">
        <f>'2025 Budget Worksheet '!I118</f>
        <v>1291.4879999999998</v>
      </c>
    </row>
    <row r="116" spans="1:9" x14ac:dyDescent="0.25">
      <c r="A116" s="5" t="s">
        <v>82</v>
      </c>
      <c r="B116" s="76">
        <v>7764.6</v>
      </c>
      <c r="C116" s="76">
        <f t="shared" si="17"/>
        <v>9317.52</v>
      </c>
      <c r="D116" s="55">
        <v>9317.52</v>
      </c>
      <c r="E116" s="5" t="s">
        <v>82</v>
      </c>
      <c r="F116" s="44">
        <f>'2025 Budget Worksheet '!I119</f>
        <v>9317.52</v>
      </c>
    </row>
    <row r="117" spans="1:9" x14ac:dyDescent="0.25">
      <c r="A117" s="5" t="s">
        <v>122</v>
      </c>
      <c r="B117" s="76">
        <v>0</v>
      </c>
      <c r="C117" s="76">
        <f t="shared" si="17"/>
        <v>0</v>
      </c>
      <c r="D117" s="55">
        <v>433.65</v>
      </c>
      <c r="E117" s="5"/>
      <c r="F117" s="44">
        <f>'2025 Budget Worksheet '!I120</f>
        <v>0</v>
      </c>
    </row>
    <row r="118" spans="1:9" ht="15.6" customHeight="1" x14ac:dyDescent="0.25">
      <c r="A118" s="5" t="s">
        <v>63</v>
      </c>
      <c r="B118" s="76">
        <v>1610</v>
      </c>
      <c r="C118" s="76">
        <f t="shared" si="17"/>
        <v>1932</v>
      </c>
      <c r="D118" s="55">
        <v>2530</v>
      </c>
      <c r="E118" s="5" t="s">
        <v>63</v>
      </c>
      <c r="F118" s="44">
        <f>'2025 Budget Worksheet '!I121</f>
        <v>4260</v>
      </c>
      <c r="I118" s="2"/>
    </row>
    <row r="119" spans="1:9" x14ac:dyDescent="0.25">
      <c r="A119" s="5" t="s">
        <v>64</v>
      </c>
      <c r="B119" s="76"/>
      <c r="C119" s="76"/>
      <c r="D119" s="55"/>
      <c r="E119" s="5" t="s">
        <v>64</v>
      </c>
      <c r="F119" s="44">
        <f>'2025 Budget Worksheet '!I122</f>
        <v>0</v>
      </c>
      <c r="I119" s="2"/>
    </row>
    <row r="120" spans="1:9" x14ac:dyDescent="0.25">
      <c r="A120" s="23" t="s">
        <v>87</v>
      </c>
      <c r="B120" s="76">
        <v>10078.25</v>
      </c>
      <c r="C120" s="76">
        <f>B120/10*12</f>
        <v>12093.900000000001</v>
      </c>
      <c r="D120" s="55">
        <v>12000</v>
      </c>
      <c r="E120" s="23" t="s">
        <v>87</v>
      </c>
      <c r="F120" s="44">
        <f>'2025 Budget Worksheet '!I123</f>
        <v>12093.900000000001</v>
      </c>
      <c r="I120" s="2"/>
    </row>
    <row r="121" spans="1:9" x14ac:dyDescent="0.25">
      <c r="A121" s="23" t="s">
        <v>88</v>
      </c>
      <c r="B121" s="76">
        <v>2543.16</v>
      </c>
      <c r="C121" s="76">
        <f t="shared" ref="C121:C128" si="18">B121/10*12</f>
        <v>3051.7919999999995</v>
      </c>
      <c r="D121" s="55">
        <v>3000</v>
      </c>
      <c r="E121" s="23" t="s">
        <v>88</v>
      </c>
      <c r="F121" s="44">
        <f>'2025 Budget Worksheet '!I124</f>
        <v>3051.7919999999995</v>
      </c>
    </row>
    <row r="122" spans="1:9" x14ac:dyDescent="0.25">
      <c r="A122" s="23" t="s">
        <v>89</v>
      </c>
      <c r="B122" s="76">
        <v>2870.79</v>
      </c>
      <c r="C122" s="76">
        <f t="shared" si="18"/>
        <v>3444.9480000000003</v>
      </c>
      <c r="D122" s="55">
        <v>3600</v>
      </c>
      <c r="E122" s="23" t="s">
        <v>89</v>
      </c>
      <c r="F122" s="44">
        <f>'2025 Budget Worksheet '!I125</f>
        <v>3444.9480000000003</v>
      </c>
    </row>
    <row r="123" spans="1:9" x14ac:dyDescent="0.25">
      <c r="A123" s="23" t="s">
        <v>90</v>
      </c>
      <c r="B123" s="76">
        <v>425</v>
      </c>
      <c r="C123" s="76">
        <f t="shared" si="18"/>
        <v>510</v>
      </c>
      <c r="D123" s="55">
        <v>1200</v>
      </c>
      <c r="E123" s="23" t="s">
        <v>90</v>
      </c>
      <c r="F123" s="44">
        <f>'2025 Budget Worksheet '!I126</f>
        <v>510</v>
      </c>
    </row>
    <row r="124" spans="1:9" x14ac:dyDescent="0.25">
      <c r="A124" s="5" t="s">
        <v>65</v>
      </c>
      <c r="B124" s="76">
        <v>1083.5999999999999</v>
      </c>
      <c r="C124" s="76">
        <f t="shared" si="18"/>
        <v>1300.3199999999997</v>
      </c>
      <c r="D124" s="55">
        <v>900</v>
      </c>
      <c r="E124" s="5" t="s">
        <v>65</v>
      </c>
      <c r="F124" s="44">
        <f>'2025 Budget Worksheet '!I127</f>
        <v>1300.3199999999997</v>
      </c>
      <c r="H124" s="2"/>
    </row>
    <row r="125" spans="1:9" x14ac:dyDescent="0.25">
      <c r="A125" s="5" t="s">
        <v>96</v>
      </c>
      <c r="B125" s="76">
        <v>17440</v>
      </c>
      <c r="C125" s="76">
        <f t="shared" si="18"/>
        <v>20928</v>
      </c>
      <c r="D125" s="55">
        <v>15600</v>
      </c>
      <c r="E125" s="5" t="s">
        <v>84</v>
      </c>
      <c r="F125" s="44">
        <f>'2025 Budget Worksheet '!I128</f>
        <v>60000</v>
      </c>
    </row>
    <row r="126" spans="1:9" x14ac:dyDescent="0.25">
      <c r="A126" s="5" t="s">
        <v>107</v>
      </c>
      <c r="B126" s="76">
        <v>76666.600000000006</v>
      </c>
      <c r="C126" s="76">
        <f t="shared" si="18"/>
        <v>91999.920000000013</v>
      </c>
      <c r="D126" s="55">
        <v>91999.92</v>
      </c>
      <c r="E126" s="5" t="s">
        <v>107</v>
      </c>
      <c r="F126" s="44">
        <f>'2025 Budget Worksheet '!I129</f>
        <v>91999.920000000013</v>
      </c>
    </row>
    <row r="127" spans="1:9" x14ac:dyDescent="0.25">
      <c r="A127" s="5" t="s">
        <v>138</v>
      </c>
      <c r="B127" s="76">
        <v>0</v>
      </c>
      <c r="C127" s="76">
        <f t="shared" si="18"/>
        <v>0</v>
      </c>
      <c r="D127" s="55">
        <v>39999.96</v>
      </c>
      <c r="E127" s="5" t="s">
        <v>85</v>
      </c>
      <c r="F127" s="44">
        <f>'2025 Budget Worksheet '!I130</f>
        <v>0</v>
      </c>
    </row>
    <row r="128" spans="1:9" x14ac:dyDescent="0.25">
      <c r="A128" s="51" t="s">
        <v>66</v>
      </c>
      <c r="B128" s="77">
        <v>1519.8</v>
      </c>
      <c r="C128" s="77">
        <f t="shared" si="18"/>
        <v>1823.7599999999998</v>
      </c>
      <c r="D128" s="60">
        <v>1800</v>
      </c>
      <c r="E128" s="130" t="s">
        <v>66</v>
      </c>
      <c r="F128" s="45">
        <f>'2025 Budget Worksheet '!I131</f>
        <v>1823.7599999999998</v>
      </c>
    </row>
    <row r="129" spans="1:6" ht="28.9" customHeight="1" x14ac:dyDescent="0.25">
      <c r="A129" s="162" t="s">
        <v>5</v>
      </c>
      <c r="B129" s="163">
        <f t="shared" ref="B129:D129" si="19">SUM(B101:B128)</f>
        <v>154058.26999999999</v>
      </c>
      <c r="C129" s="163">
        <f t="shared" si="19"/>
        <v>184869.92400000003</v>
      </c>
      <c r="D129" s="107">
        <f t="shared" si="19"/>
        <v>230537.1</v>
      </c>
      <c r="E129" s="162" t="s">
        <v>5</v>
      </c>
      <c r="F129" s="108">
        <f>SUM(F101:F128)</f>
        <v>229993.76748000001</v>
      </c>
    </row>
    <row r="130" spans="1:6" ht="14.45" customHeight="1" x14ac:dyDescent="0.25">
      <c r="A130" s="158"/>
      <c r="B130" s="169"/>
      <c r="C130" s="169"/>
      <c r="D130" s="66"/>
      <c r="E130" s="158"/>
      <c r="F130" s="48"/>
    </row>
    <row r="131" spans="1:6" ht="29.45" customHeight="1" x14ac:dyDescent="0.25">
      <c r="A131" s="164" t="s">
        <v>6</v>
      </c>
      <c r="B131" s="165">
        <f>(B97)-(B129)</f>
        <v>-563.67999999996391</v>
      </c>
      <c r="C131" s="166">
        <f>(C97)-(C129)</f>
        <v>-4870.5226666666858</v>
      </c>
      <c r="D131" s="167">
        <f>(D97)-(D129)</f>
        <v>26227.449999999983</v>
      </c>
      <c r="E131" s="164" t="s">
        <v>6</v>
      </c>
      <c r="F131" s="168">
        <f>(F97)-(F129)</f>
        <v>-9802.8542799999996</v>
      </c>
    </row>
    <row r="132" spans="1:6" ht="15.6" customHeight="1" x14ac:dyDescent="0.25">
      <c r="A132" s="170"/>
      <c r="B132" s="171"/>
      <c r="C132" s="38"/>
      <c r="D132" s="172"/>
      <c r="E132" s="170"/>
      <c r="F132" s="173"/>
    </row>
    <row r="133" spans="1:6" x14ac:dyDescent="0.25">
      <c r="A133" s="3"/>
      <c r="B133" s="11"/>
      <c r="C133" s="11"/>
      <c r="D133" s="55"/>
      <c r="E133" s="3"/>
      <c r="F133" s="44"/>
    </row>
    <row r="134" spans="1:6" x14ac:dyDescent="0.25">
      <c r="A134" s="125" t="s">
        <v>7</v>
      </c>
      <c r="B134" s="77"/>
      <c r="C134" s="77"/>
      <c r="D134" s="60"/>
      <c r="E134" s="125" t="s">
        <v>7</v>
      </c>
      <c r="F134" s="45"/>
    </row>
    <row r="135" spans="1:6" x14ac:dyDescent="0.25">
      <c r="A135" s="5" t="s">
        <v>93</v>
      </c>
      <c r="B135" s="76">
        <v>2500</v>
      </c>
      <c r="C135" s="76"/>
      <c r="D135" s="55"/>
      <c r="E135" s="5" t="s">
        <v>67</v>
      </c>
      <c r="F135" s="44"/>
    </row>
    <row r="136" spans="1:6" x14ac:dyDescent="0.25">
      <c r="A136" s="5" t="s">
        <v>91</v>
      </c>
      <c r="B136" s="76">
        <v>0</v>
      </c>
      <c r="C136" s="76"/>
      <c r="D136" s="55"/>
      <c r="E136" s="5" t="s">
        <v>91</v>
      </c>
      <c r="F136" s="44"/>
    </row>
    <row r="137" spans="1:6" x14ac:dyDescent="0.25">
      <c r="A137" s="5" t="s">
        <v>92</v>
      </c>
      <c r="B137" s="76">
        <v>0</v>
      </c>
      <c r="C137" s="76"/>
      <c r="D137" s="55"/>
      <c r="E137" s="5" t="s">
        <v>92</v>
      </c>
      <c r="F137" s="44"/>
    </row>
    <row r="138" spans="1:6" x14ac:dyDescent="0.25">
      <c r="A138" s="5" t="s">
        <v>93</v>
      </c>
      <c r="B138" s="76"/>
      <c r="C138" s="76"/>
      <c r="D138" s="55"/>
      <c r="E138" s="5" t="s">
        <v>93</v>
      </c>
      <c r="F138" s="44"/>
    </row>
    <row r="139" spans="1:6" x14ac:dyDescent="0.25">
      <c r="A139" s="5" t="s">
        <v>68</v>
      </c>
      <c r="B139" s="76">
        <v>70.52</v>
      </c>
      <c r="C139" s="76"/>
      <c r="D139" s="55"/>
      <c r="E139" s="5" t="s">
        <v>68</v>
      </c>
      <c r="F139" s="44"/>
    </row>
    <row r="140" spans="1:6" x14ac:dyDescent="0.25">
      <c r="A140" s="5" t="s">
        <v>86</v>
      </c>
      <c r="B140" s="76">
        <v>9270</v>
      </c>
      <c r="C140" s="76"/>
      <c r="D140" s="55"/>
      <c r="E140" s="5" t="s">
        <v>86</v>
      </c>
      <c r="F140" s="44"/>
    </row>
    <row r="141" spans="1:6" x14ac:dyDescent="0.25">
      <c r="A141" s="5" t="s">
        <v>95</v>
      </c>
      <c r="B141" s="76">
        <v>-7820.95</v>
      </c>
      <c r="C141" s="76"/>
      <c r="D141" s="55"/>
      <c r="E141" s="5" t="s">
        <v>95</v>
      </c>
      <c r="F141" s="44"/>
    </row>
    <row r="142" spans="1:6" x14ac:dyDescent="0.25">
      <c r="A142" s="5" t="s">
        <v>69</v>
      </c>
      <c r="B142" s="77">
        <v>2774.38</v>
      </c>
      <c r="C142" s="78"/>
      <c r="D142" s="55"/>
      <c r="E142" s="5" t="s">
        <v>69</v>
      </c>
      <c r="F142" s="44"/>
    </row>
    <row r="143" spans="1:6" x14ac:dyDescent="0.25">
      <c r="A143" s="138" t="s">
        <v>8</v>
      </c>
      <c r="B143" s="174">
        <f t="shared" ref="B143:D143" si="20">SUM(B135:B142)</f>
        <v>6793.9500000000007</v>
      </c>
      <c r="C143" s="175">
        <f t="shared" si="20"/>
        <v>0</v>
      </c>
      <c r="D143" s="66">
        <f t="shared" si="20"/>
        <v>0</v>
      </c>
      <c r="E143" s="138" t="s">
        <v>8</v>
      </c>
      <c r="F143" s="48">
        <f>SUM(F135:F142)</f>
        <v>0</v>
      </c>
    </row>
    <row r="144" spans="1:6" x14ac:dyDescent="0.25">
      <c r="A144" s="3"/>
      <c r="B144" s="79"/>
      <c r="C144" s="76"/>
      <c r="D144" s="55"/>
      <c r="E144" s="3"/>
      <c r="F144" s="41"/>
    </row>
    <row r="145" spans="1:6" ht="15.75" thickBot="1" x14ac:dyDescent="0.3">
      <c r="A145" s="7" t="s">
        <v>70</v>
      </c>
      <c r="B145" s="88">
        <f>(B131)+(B143)</f>
        <v>6230.2700000000368</v>
      </c>
      <c r="C145" s="86">
        <f>(C131)+(C143)</f>
        <v>-4870.5226666666858</v>
      </c>
      <c r="D145" s="69">
        <f t="shared" ref="D145" si="21">(D131)+(D143)</f>
        <v>26227.449999999983</v>
      </c>
      <c r="E145" s="3" t="s">
        <v>70</v>
      </c>
      <c r="F145" s="50">
        <f>(F131)+(F143)</f>
        <v>-9802.8542799999996</v>
      </c>
    </row>
    <row r="146" spans="1:6" ht="15.75" thickTop="1" x14ac:dyDescent="0.25">
      <c r="A146" s="3"/>
      <c r="B146" s="11"/>
      <c r="C146" s="11"/>
      <c r="D146" s="22"/>
      <c r="E146"/>
    </row>
    <row r="147" spans="1:6" x14ac:dyDescent="0.25">
      <c r="A147" s="1"/>
      <c r="B147" s="11"/>
      <c r="C147" s="11"/>
      <c r="D147" s="22"/>
      <c r="E147"/>
    </row>
    <row r="148" spans="1:6" x14ac:dyDescent="0.25">
      <c r="A148" s="18" t="s">
        <v>140</v>
      </c>
      <c r="B148" s="11"/>
      <c r="C148" s="11"/>
      <c r="D148" s="22"/>
      <c r="E148"/>
    </row>
    <row r="149" spans="1:6" x14ac:dyDescent="0.25">
      <c r="A149" s="17" t="s">
        <v>141</v>
      </c>
      <c r="B149" s="11"/>
      <c r="C149" s="11"/>
      <c r="D149" s="22"/>
      <c r="E149"/>
    </row>
    <row r="150" spans="1:6" x14ac:dyDescent="0.25">
      <c r="A150" s="17" t="s">
        <v>142</v>
      </c>
      <c r="B150" s="11"/>
      <c r="C150" s="11"/>
      <c r="D150" s="22"/>
      <c r="E150"/>
    </row>
    <row r="151" spans="1:6" x14ac:dyDescent="0.25">
      <c r="A151" s="1"/>
      <c r="B151" s="11"/>
      <c r="C151" s="11"/>
      <c r="D151" s="22"/>
      <c r="E151"/>
    </row>
    <row r="152" spans="1:6" x14ac:dyDescent="0.25">
      <c r="A152" s="1"/>
      <c r="B152" s="11"/>
      <c r="C152" s="11"/>
      <c r="D152" s="22"/>
      <c r="E152"/>
    </row>
    <row r="153" spans="1:6" x14ac:dyDescent="0.25">
      <c r="A153" s="19"/>
      <c r="B153" s="11"/>
      <c r="C153" s="11"/>
      <c r="D153" s="22"/>
      <c r="E153"/>
    </row>
    <row r="154" spans="1:6" ht="15.75" x14ac:dyDescent="0.25">
      <c r="A154" s="8"/>
      <c r="B154" s="10"/>
      <c r="C154" s="10"/>
      <c r="D154" s="70"/>
      <c r="E154"/>
    </row>
    <row r="155" spans="1:6" ht="15.75" x14ac:dyDescent="0.25">
      <c r="A155" s="8"/>
      <c r="B155" s="10"/>
      <c r="C155" s="10"/>
      <c r="D155" s="70"/>
      <c r="E155"/>
    </row>
    <row r="156" spans="1:6" ht="15.75" x14ac:dyDescent="0.25">
      <c r="A156" s="8"/>
      <c r="B156" s="10"/>
      <c r="C156" s="10"/>
      <c r="D156" s="70"/>
      <c r="E156"/>
    </row>
    <row r="157" spans="1:6" ht="15.75" x14ac:dyDescent="0.25">
      <c r="A157" s="8"/>
      <c r="B157" s="10"/>
      <c r="C157" s="10"/>
      <c r="D157" s="70"/>
      <c r="E157"/>
    </row>
    <row r="158" spans="1:6" ht="15.75" x14ac:dyDescent="0.25">
      <c r="A158" s="20"/>
      <c r="B158" s="10"/>
      <c r="C158" s="10"/>
      <c r="D158" s="70"/>
      <c r="E158"/>
    </row>
    <row r="159" spans="1:6" ht="15.75" x14ac:dyDescent="0.25">
      <c r="A159" s="8"/>
      <c r="E159"/>
    </row>
    <row r="160" spans="1:6" ht="15.75" x14ac:dyDescent="0.25">
      <c r="A160" s="8"/>
      <c r="E160"/>
    </row>
    <row r="161" spans="1:5" ht="15.75" x14ac:dyDescent="0.25">
      <c r="A161" s="8"/>
      <c r="E161"/>
    </row>
    <row r="162" spans="1:5" ht="15.75" x14ac:dyDescent="0.25">
      <c r="A162" s="8"/>
      <c r="E162"/>
    </row>
    <row r="163" spans="1:5" ht="15.75" x14ac:dyDescent="0.25">
      <c r="A163" s="8"/>
      <c r="E163"/>
    </row>
    <row r="164" spans="1:5" ht="15.75" x14ac:dyDescent="0.25">
      <c r="A164" s="8"/>
      <c r="E164"/>
    </row>
    <row r="165" spans="1:5" ht="15.75" x14ac:dyDescent="0.25">
      <c r="A165" s="8"/>
      <c r="E165"/>
    </row>
    <row r="166" spans="1:5" ht="15.75" x14ac:dyDescent="0.25">
      <c r="A166" s="8"/>
      <c r="E166"/>
    </row>
    <row r="167" spans="1:5" ht="15.75" x14ac:dyDescent="0.25">
      <c r="A167" s="8"/>
      <c r="E167"/>
    </row>
    <row r="168" spans="1:5" ht="15.75" x14ac:dyDescent="0.25">
      <c r="A168" s="8"/>
      <c r="E168"/>
    </row>
    <row r="169" spans="1:5" ht="15.75" x14ac:dyDescent="0.25">
      <c r="A169" s="8"/>
      <c r="E169" s="22"/>
    </row>
    <row r="170" spans="1:5" ht="15.75" x14ac:dyDescent="0.25">
      <c r="A170" s="8"/>
      <c r="E170" s="22"/>
    </row>
    <row r="171" spans="1:5" ht="15.75" x14ac:dyDescent="0.25">
      <c r="A171" s="8"/>
      <c r="E171" s="22"/>
    </row>
    <row r="172" spans="1:5" ht="15.75" x14ac:dyDescent="0.25">
      <c r="A172" s="8"/>
      <c r="E172" s="22"/>
    </row>
    <row r="173" spans="1:5" ht="15.75" x14ac:dyDescent="0.25">
      <c r="A173" s="8"/>
      <c r="E173" s="22"/>
    </row>
    <row r="174" spans="1:5" ht="15.75" x14ac:dyDescent="0.25">
      <c r="A174" s="8"/>
      <c r="E174" s="22"/>
    </row>
    <row r="175" spans="1:5" ht="15.75" x14ac:dyDescent="0.25">
      <c r="A175" s="8"/>
      <c r="E175" s="22"/>
    </row>
    <row r="176" spans="1:5" ht="15.75" x14ac:dyDescent="0.25">
      <c r="A176" s="8"/>
    </row>
    <row r="177" spans="1:1" ht="15.75" x14ac:dyDescent="0.25">
      <c r="A177" s="8"/>
    </row>
    <row r="178" spans="1:1" ht="15.75" x14ac:dyDescent="0.25">
      <c r="A178" s="8"/>
    </row>
    <row r="179" spans="1:1" ht="15.75" x14ac:dyDescent="0.25">
      <c r="A179" s="8"/>
    </row>
    <row r="180" spans="1:1" ht="15.75" x14ac:dyDescent="0.25">
      <c r="A180" s="8"/>
    </row>
    <row r="181" spans="1:1" ht="15.75" x14ac:dyDescent="0.25">
      <c r="A181" s="8"/>
    </row>
    <row r="182" spans="1:1" ht="15.75" x14ac:dyDescent="0.25">
      <c r="A182" s="8"/>
    </row>
    <row r="183" spans="1:1" ht="15.75" x14ac:dyDescent="0.25">
      <c r="A183" s="8"/>
    </row>
    <row r="184" spans="1:1" ht="15.75" x14ac:dyDescent="0.25">
      <c r="A184" s="8"/>
    </row>
    <row r="185" spans="1:1" ht="15.75" x14ac:dyDescent="0.25">
      <c r="A185" s="8"/>
    </row>
  </sheetData>
  <mergeCells count="4">
    <mergeCell ref="A1:F1"/>
    <mergeCell ref="A2:F2"/>
    <mergeCell ref="A3:F3"/>
    <mergeCell ref="F5:F6"/>
  </mergeCells>
  <printOptions gridLines="1"/>
  <pageMargins left="0.25" right="0.25" top="0.25" bottom="0.25" header="0.3" footer="0.3"/>
  <pageSetup scale="66" fitToHeight="0" orientation="portrait" cellComments="asDisplayed" r:id="rId1"/>
  <rowBreaks count="2" manualBreakCount="2">
    <brk id="55" max="16383" man="1"/>
    <brk id="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DF28-FFE1-411D-B727-7155E1361D9A}">
  <dimension ref="B2:P47"/>
  <sheetViews>
    <sheetView zoomScaleNormal="100" workbookViewId="0">
      <selection activeCell="L29" sqref="L29"/>
    </sheetView>
  </sheetViews>
  <sheetFormatPr defaultColWidth="8.85546875" defaultRowHeight="14.25" x14ac:dyDescent="0.2"/>
  <cols>
    <col min="1" max="1" width="5" style="1" customWidth="1"/>
    <col min="2" max="7" width="8.85546875" style="1"/>
    <col min="8" max="8" width="18.28515625" style="1" customWidth="1"/>
    <col min="9" max="9" width="4.28515625" style="1" customWidth="1"/>
    <col min="10" max="15" width="8.85546875" style="1"/>
    <col min="16" max="16" width="17.7109375" style="1" customWidth="1"/>
    <col min="17" max="16384" width="8.85546875" style="1"/>
  </cols>
  <sheetData>
    <row r="2" spans="2:16" ht="15" thickBot="1" x14ac:dyDescent="0.25"/>
    <row r="3" spans="2:16" ht="20.45" customHeight="1" thickBot="1" x14ac:dyDescent="0.3">
      <c r="B3" s="189" t="s">
        <v>200</v>
      </c>
      <c r="C3" s="190"/>
      <c r="D3" s="190"/>
      <c r="E3" s="190"/>
      <c r="F3" s="190"/>
      <c r="G3" s="190"/>
      <c r="H3" s="191"/>
      <c r="J3" s="189" t="s">
        <v>200</v>
      </c>
      <c r="K3" s="190"/>
      <c r="L3" s="190"/>
      <c r="M3" s="190"/>
      <c r="N3" s="190"/>
      <c r="O3" s="190"/>
      <c r="P3" s="191"/>
    </row>
    <row r="4" spans="2:16" ht="20.45" customHeight="1" x14ac:dyDescent="0.2">
      <c r="B4" s="192" t="s">
        <v>199</v>
      </c>
      <c r="C4" s="193"/>
      <c r="D4" s="193"/>
      <c r="E4" s="193"/>
      <c r="F4" s="193"/>
      <c r="G4" s="193"/>
      <c r="H4" s="194"/>
      <c r="J4" s="192" t="s">
        <v>210</v>
      </c>
      <c r="K4" s="193"/>
      <c r="L4" s="193"/>
      <c r="M4" s="193"/>
      <c r="N4" s="193"/>
      <c r="O4" s="193"/>
      <c r="P4" s="194"/>
    </row>
    <row r="5" spans="2:16" ht="15" x14ac:dyDescent="0.25">
      <c r="B5" s="184" t="s">
        <v>10</v>
      </c>
      <c r="C5" s="185"/>
      <c r="D5" s="185"/>
      <c r="E5" s="185"/>
      <c r="F5" s="185"/>
      <c r="G5" s="185"/>
      <c r="H5" s="186"/>
      <c r="J5" s="184" t="s">
        <v>54</v>
      </c>
      <c r="K5" s="185"/>
      <c r="L5" s="185"/>
      <c r="M5" s="185"/>
      <c r="N5" s="185"/>
      <c r="O5" s="185"/>
      <c r="P5" s="186"/>
    </row>
    <row r="6" spans="2:16" x14ac:dyDescent="0.2">
      <c r="B6" s="122"/>
      <c r="C6" s="195" t="s">
        <v>167</v>
      </c>
      <c r="D6" s="195"/>
      <c r="E6" s="195"/>
      <c r="F6" s="195"/>
      <c r="G6" s="195"/>
      <c r="H6" s="196"/>
      <c r="J6" s="122"/>
      <c r="K6" s="195" t="s">
        <v>211</v>
      </c>
      <c r="L6" s="195"/>
      <c r="M6" s="195"/>
      <c r="N6" s="195"/>
      <c r="O6" s="195"/>
      <c r="P6" s="196"/>
    </row>
    <row r="7" spans="2:16" ht="15" x14ac:dyDescent="0.25">
      <c r="B7" s="122"/>
      <c r="C7" s="195" t="s">
        <v>168</v>
      </c>
      <c r="D7" s="195"/>
      <c r="E7" s="195"/>
      <c r="F7" s="195"/>
      <c r="G7" s="195"/>
      <c r="H7" s="196"/>
      <c r="J7" s="184" t="s">
        <v>55</v>
      </c>
      <c r="K7" s="185"/>
      <c r="L7" s="185"/>
      <c r="M7" s="185"/>
      <c r="N7" s="185"/>
      <c r="O7" s="185"/>
      <c r="P7" s="186"/>
    </row>
    <row r="8" spans="2:16" x14ac:dyDescent="0.2">
      <c r="B8" s="122"/>
      <c r="C8" s="195" t="s">
        <v>169</v>
      </c>
      <c r="D8" s="195"/>
      <c r="E8" s="195"/>
      <c r="F8" s="195"/>
      <c r="G8" s="195"/>
      <c r="H8" s="196"/>
      <c r="J8" s="122"/>
      <c r="K8" s="195" t="s">
        <v>212</v>
      </c>
      <c r="L8" s="195"/>
      <c r="M8" s="195"/>
      <c r="N8" s="195"/>
      <c r="O8" s="195"/>
      <c r="P8" s="196"/>
    </row>
    <row r="9" spans="2:16" ht="15" x14ac:dyDescent="0.25">
      <c r="B9" s="184" t="s">
        <v>170</v>
      </c>
      <c r="C9" s="185"/>
      <c r="D9" s="185"/>
      <c r="E9" s="185"/>
      <c r="F9" s="185"/>
      <c r="G9" s="185"/>
      <c r="H9" s="186"/>
      <c r="J9" s="184" t="s">
        <v>60</v>
      </c>
      <c r="K9" s="185"/>
      <c r="L9" s="185"/>
      <c r="M9" s="185"/>
      <c r="N9" s="185"/>
      <c r="O9" s="185"/>
      <c r="P9" s="186"/>
    </row>
    <row r="10" spans="2:16" x14ac:dyDescent="0.2">
      <c r="B10" s="122"/>
      <c r="C10" s="195" t="s">
        <v>171</v>
      </c>
      <c r="D10" s="195"/>
      <c r="E10" s="195"/>
      <c r="F10" s="195"/>
      <c r="G10" s="195"/>
      <c r="H10" s="196"/>
      <c r="J10" s="122"/>
      <c r="K10" s="182" t="s">
        <v>213</v>
      </c>
      <c r="L10" s="182"/>
      <c r="M10" s="182"/>
      <c r="N10" s="182"/>
      <c r="O10" s="182"/>
      <c r="P10" s="183"/>
    </row>
    <row r="11" spans="2:16" ht="15" x14ac:dyDescent="0.25">
      <c r="B11" s="122"/>
      <c r="C11" s="195" t="s">
        <v>172</v>
      </c>
      <c r="D11" s="195"/>
      <c r="E11" s="195"/>
      <c r="F11" s="195"/>
      <c r="G11" s="195"/>
      <c r="H11" s="196"/>
      <c r="J11" s="184" t="s">
        <v>61</v>
      </c>
      <c r="K11" s="185"/>
      <c r="L11" s="185"/>
      <c r="M11" s="185"/>
      <c r="N11" s="185"/>
      <c r="O11" s="185"/>
      <c r="P11" s="186"/>
    </row>
    <row r="12" spans="2:16" ht="15" x14ac:dyDescent="0.25">
      <c r="B12" s="184" t="s">
        <v>173</v>
      </c>
      <c r="C12" s="185"/>
      <c r="D12" s="185"/>
      <c r="E12" s="185"/>
      <c r="F12" s="185"/>
      <c r="G12" s="185"/>
      <c r="H12" s="186"/>
      <c r="J12" s="122"/>
      <c r="K12" s="182" t="s">
        <v>214</v>
      </c>
      <c r="L12" s="182"/>
      <c r="M12" s="182"/>
      <c r="N12" s="182"/>
      <c r="O12" s="182"/>
      <c r="P12" s="183"/>
    </row>
    <row r="13" spans="2:16" ht="15" x14ac:dyDescent="0.25">
      <c r="B13" s="122"/>
      <c r="C13" s="182" t="s">
        <v>177</v>
      </c>
      <c r="D13" s="182"/>
      <c r="E13" s="182"/>
      <c r="F13" s="182"/>
      <c r="G13" s="182"/>
      <c r="H13" s="183"/>
      <c r="J13" s="184" t="s">
        <v>63</v>
      </c>
      <c r="K13" s="185"/>
      <c r="L13" s="185"/>
      <c r="M13" s="185"/>
      <c r="N13" s="185"/>
      <c r="O13" s="185"/>
      <c r="P13" s="186"/>
    </row>
    <row r="14" spans="2:16" x14ac:dyDescent="0.2">
      <c r="B14" s="122"/>
      <c r="C14" s="182" t="s">
        <v>174</v>
      </c>
      <c r="D14" s="182"/>
      <c r="E14" s="182"/>
      <c r="F14" s="182"/>
      <c r="G14" s="182"/>
      <c r="H14" s="183"/>
      <c r="J14" s="122"/>
      <c r="K14" s="182" t="s">
        <v>215</v>
      </c>
      <c r="L14" s="182"/>
      <c r="M14" s="182"/>
      <c r="N14" s="182"/>
      <c r="O14" s="182"/>
      <c r="P14" s="183"/>
    </row>
    <row r="15" spans="2:16" x14ac:dyDescent="0.2">
      <c r="B15" s="122"/>
      <c r="C15" s="182" t="s">
        <v>175</v>
      </c>
      <c r="D15" s="182"/>
      <c r="E15" s="182"/>
      <c r="F15" s="182"/>
      <c r="G15" s="182"/>
      <c r="H15" s="183"/>
      <c r="J15" s="122"/>
      <c r="K15" s="182" t="s">
        <v>216</v>
      </c>
      <c r="L15" s="182"/>
      <c r="M15" s="182"/>
      <c r="N15" s="182"/>
      <c r="O15" s="182"/>
      <c r="P15" s="183"/>
    </row>
    <row r="16" spans="2:16" ht="15" x14ac:dyDescent="0.25">
      <c r="B16" s="122"/>
      <c r="C16" s="182" t="s">
        <v>176</v>
      </c>
      <c r="D16" s="182"/>
      <c r="E16" s="182"/>
      <c r="F16" s="182"/>
      <c r="G16" s="182"/>
      <c r="H16" s="183"/>
      <c r="J16" s="184" t="s">
        <v>84</v>
      </c>
      <c r="K16" s="185"/>
      <c r="L16" s="185"/>
      <c r="M16" s="185"/>
      <c r="N16" s="185"/>
      <c r="O16" s="185"/>
      <c r="P16" s="186"/>
    </row>
    <row r="17" spans="2:16" ht="15" x14ac:dyDescent="0.25">
      <c r="B17" s="184" t="s">
        <v>178</v>
      </c>
      <c r="C17" s="185"/>
      <c r="D17" s="185"/>
      <c r="E17" s="185"/>
      <c r="F17" s="185"/>
      <c r="G17" s="185"/>
      <c r="H17" s="186"/>
      <c r="J17" s="122"/>
      <c r="K17" s="182" t="s">
        <v>217</v>
      </c>
      <c r="L17" s="182"/>
      <c r="M17" s="182"/>
      <c r="N17" s="182"/>
      <c r="O17" s="182"/>
      <c r="P17" s="183"/>
    </row>
    <row r="18" spans="2:16" ht="15" x14ac:dyDescent="0.25">
      <c r="B18" s="122"/>
      <c r="C18" s="182" t="s">
        <v>179</v>
      </c>
      <c r="D18" s="182"/>
      <c r="E18" s="182"/>
      <c r="F18" s="182"/>
      <c r="G18" s="182"/>
      <c r="H18" s="183"/>
      <c r="J18" s="184" t="s">
        <v>218</v>
      </c>
      <c r="K18" s="185"/>
      <c r="L18" s="185"/>
      <c r="M18" s="185"/>
      <c r="N18" s="185"/>
      <c r="O18" s="185"/>
      <c r="P18" s="186"/>
    </row>
    <row r="19" spans="2:16" ht="15" thickBot="1" x14ac:dyDescent="0.25">
      <c r="B19" s="122"/>
      <c r="C19" s="182" t="s">
        <v>180</v>
      </c>
      <c r="D19" s="182"/>
      <c r="E19" s="182"/>
      <c r="F19" s="182"/>
      <c r="G19" s="182"/>
      <c r="H19" s="183"/>
      <c r="J19" s="123"/>
      <c r="K19" s="187" t="s">
        <v>219</v>
      </c>
      <c r="L19" s="187"/>
      <c r="M19" s="187"/>
      <c r="N19" s="187"/>
      <c r="O19" s="187"/>
      <c r="P19" s="188"/>
    </row>
    <row r="20" spans="2:16" ht="15" x14ac:dyDescent="0.25">
      <c r="B20" s="184" t="s">
        <v>181</v>
      </c>
      <c r="C20" s="185"/>
      <c r="D20" s="185"/>
      <c r="E20" s="185"/>
      <c r="F20" s="185"/>
      <c r="G20" s="185"/>
      <c r="H20" s="186"/>
    </row>
    <row r="21" spans="2:16" x14ac:dyDescent="0.2">
      <c r="B21" s="122"/>
      <c r="C21" s="182" t="s">
        <v>182</v>
      </c>
      <c r="D21" s="182"/>
      <c r="E21" s="182"/>
      <c r="F21" s="182"/>
      <c r="G21" s="182"/>
      <c r="H21" s="183"/>
    </row>
    <row r="22" spans="2:16" x14ac:dyDescent="0.2">
      <c r="B22" s="122"/>
      <c r="C22" s="182" t="s">
        <v>183</v>
      </c>
      <c r="D22" s="182"/>
      <c r="E22" s="182"/>
      <c r="F22" s="182"/>
      <c r="G22" s="182"/>
      <c r="H22" s="183"/>
    </row>
    <row r="23" spans="2:16" ht="15" x14ac:dyDescent="0.25">
      <c r="B23" s="184" t="s">
        <v>184</v>
      </c>
      <c r="C23" s="185"/>
      <c r="D23" s="185"/>
      <c r="E23" s="185"/>
      <c r="F23" s="185"/>
      <c r="G23" s="185"/>
      <c r="H23" s="186"/>
    </row>
    <row r="24" spans="2:16" x14ac:dyDescent="0.2">
      <c r="B24" s="122"/>
      <c r="C24" s="182" t="s">
        <v>185</v>
      </c>
      <c r="D24" s="182"/>
      <c r="E24" s="182"/>
      <c r="F24" s="182"/>
      <c r="G24" s="182"/>
      <c r="H24" s="183"/>
    </row>
    <row r="25" spans="2:16" ht="15" x14ac:dyDescent="0.25">
      <c r="B25" s="184" t="s">
        <v>186</v>
      </c>
      <c r="C25" s="185"/>
      <c r="D25" s="185"/>
      <c r="E25" s="185"/>
      <c r="F25" s="185"/>
      <c r="G25" s="185"/>
      <c r="H25" s="186"/>
    </row>
    <row r="26" spans="2:16" x14ac:dyDescent="0.2">
      <c r="B26" s="122"/>
      <c r="C26" s="182" t="s">
        <v>188</v>
      </c>
      <c r="D26" s="182"/>
      <c r="E26" s="182"/>
      <c r="F26" s="182"/>
      <c r="G26" s="182"/>
      <c r="H26" s="183"/>
    </row>
    <row r="27" spans="2:16" x14ac:dyDescent="0.2">
      <c r="B27" s="122"/>
      <c r="C27" s="182" t="s">
        <v>187</v>
      </c>
      <c r="D27" s="182"/>
      <c r="E27" s="182"/>
      <c r="F27" s="182"/>
      <c r="G27" s="182"/>
      <c r="H27" s="183"/>
    </row>
    <row r="28" spans="2:16" ht="15" x14ac:dyDescent="0.25">
      <c r="B28" s="184" t="s">
        <v>189</v>
      </c>
      <c r="C28" s="185"/>
      <c r="D28" s="185"/>
      <c r="E28" s="185"/>
      <c r="F28" s="185"/>
      <c r="G28" s="185"/>
      <c r="H28" s="186"/>
      <c r="J28" s="121"/>
      <c r="K28" s="121"/>
      <c r="L28" s="121"/>
      <c r="M28" s="121"/>
      <c r="N28" s="121"/>
      <c r="O28" s="121"/>
      <c r="P28" s="121"/>
    </row>
    <row r="29" spans="2:16" x14ac:dyDescent="0.2">
      <c r="B29" s="122"/>
      <c r="C29" s="182" t="s">
        <v>190</v>
      </c>
      <c r="D29" s="182"/>
      <c r="E29" s="182"/>
      <c r="F29" s="182"/>
      <c r="G29" s="182"/>
      <c r="H29" s="183"/>
    </row>
    <row r="30" spans="2:16" ht="15" x14ac:dyDescent="0.25">
      <c r="B30" s="184" t="s">
        <v>201</v>
      </c>
      <c r="C30" s="185"/>
      <c r="D30" s="185"/>
      <c r="E30" s="185"/>
      <c r="F30" s="185"/>
      <c r="G30" s="185"/>
      <c r="H30" s="186"/>
      <c r="J30" s="121"/>
      <c r="K30" s="121"/>
      <c r="L30" s="121"/>
      <c r="M30" s="121"/>
      <c r="N30" s="121"/>
      <c r="O30" s="121"/>
      <c r="P30" s="121"/>
    </row>
    <row r="31" spans="2:16" x14ac:dyDescent="0.2">
      <c r="B31" s="122"/>
      <c r="C31" s="182" t="s">
        <v>202</v>
      </c>
      <c r="D31" s="182"/>
      <c r="E31" s="182"/>
      <c r="F31" s="182"/>
      <c r="G31" s="182"/>
      <c r="H31" s="183"/>
    </row>
    <row r="32" spans="2:16" x14ac:dyDescent="0.2">
      <c r="B32" s="122"/>
      <c r="C32" s="182" t="s">
        <v>203</v>
      </c>
      <c r="D32" s="182"/>
      <c r="E32" s="182"/>
      <c r="F32" s="182"/>
      <c r="G32" s="182"/>
      <c r="H32" s="183"/>
    </row>
    <row r="33" spans="2:16" x14ac:dyDescent="0.2">
      <c r="B33" s="122"/>
      <c r="C33" s="182" t="s">
        <v>204</v>
      </c>
      <c r="D33" s="182"/>
      <c r="E33" s="182"/>
      <c r="F33" s="182"/>
      <c r="G33" s="182"/>
      <c r="H33" s="183"/>
    </row>
    <row r="34" spans="2:16" ht="15" x14ac:dyDescent="0.25">
      <c r="B34" s="184" t="s">
        <v>32</v>
      </c>
      <c r="C34" s="185"/>
      <c r="D34" s="185"/>
      <c r="E34" s="185"/>
      <c r="F34" s="185"/>
      <c r="G34" s="185"/>
      <c r="H34" s="186"/>
      <c r="J34" s="121"/>
      <c r="K34" s="121"/>
      <c r="L34" s="121"/>
      <c r="M34" s="121"/>
      <c r="N34" s="121"/>
      <c r="O34" s="121"/>
      <c r="P34" s="121"/>
    </row>
    <row r="35" spans="2:16" x14ac:dyDescent="0.2">
      <c r="B35" s="122"/>
      <c r="C35" s="182" t="s">
        <v>205</v>
      </c>
      <c r="D35" s="182"/>
      <c r="E35" s="182"/>
      <c r="F35" s="182"/>
      <c r="G35" s="182"/>
      <c r="H35" s="183"/>
    </row>
    <row r="36" spans="2:16" ht="15" x14ac:dyDescent="0.25">
      <c r="B36" s="184" t="s">
        <v>206</v>
      </c>
      <c r="C36" s="185"/>
      <c r="D36" s="185"/>
      <c r="E36" s="185"/>
      <c r="F36" s="185"/>
      <c r="G36" s="185"/>
      <c r="H36" s="186"/>
      <c r="J36" s="121"/>
      <c r="K36" s="121"/>
      <c r="L36" s="121"/>
      <c r="M36" s="121"/>
      <c r="N36" s="121"/>
      <c r="O36" s="121"/>
      <c r="P36" s="121"/>
    </row>
    <row r="37" spans="2:16" x14ac:dyDescent="0.2">
      <c r="B37" s="122"/>
      <c r="C37" s="182" t="s">
        <v>207</v>
      </c>
      <c r="D37" s="182"/>
      <c r="E37" s="182"/>
      <c r="F37" s="182"/>
      <c r="G37" s="182"/>
      <c r="H37" s="183"/>
    </row>
    <row r="38" spans="2:16" ht="15" x14ac:dyDescent="0.25">
      <c r="B38" s="184" t="s">
        <v>208</v>
      </c>
      <c r="C38" s="185"/>
      <c r="D38" s="185"/>
      <c r="E38" s="185"/>
      <c r="F38" s="185"/>
      <c r="G38" s="185"/>
      <c r="H38" s="186"/>
      <c r="J38" s="121"/>
      <c r="K38" s="121"/>
      <c r="L38" s="121"/>
      <c r="M38" s="121"/>
      <c r="N38" s="121"/>
      <c r="O38" s="121"/>
      <c r="P38" s="121"/>
    </row>
    <row r="39" spans="2:16" x14ac:dyDescent="0.2">
      <c r="B39" s="122"/>
      <c r="C39" s="182" t="s">
        <v>209</v>
      </c>
      <c r="D39" s="182"/>
      <c r="E39" s="182"/>
      <c r="F39" s="182"/>
      <c r="G39" s="182"/>
      <c r="H39" s="183"/>
    </row>
    <row r="40" spans="2:16" ht="15" x14ac:dyDescent="0.25">
      <c r="B40" s="184" t="s">
        <v>191</v>
      </c>
      <c r="C40" s="185"/>
      <c r="D40" s="185"/>
      <c r="E40" s="185"/>
      <c r="F40" s="185"/>
      <c r="G40" s="185"/>
      <c r="H40" s="186"/>
      <c r="J40" s="121"/>
      <c r="K40" s="121"/>
      <c r="L40" s="121"/>
      <c r="M40" s="121"/>
      <c r="N40" s="121"/>
      <c r="O40" s="121"/>
      <c r="P40" s="121"/>
    </row>
    <row r="41" spans="2:16" x14ac:dyDescent="0.2">
      <c r="B41" s="122"/>
      <c r="C41" s="182" t="s">
        <v>192</v>
      </c>
      <c r="D41" s="182"/>
      <c r="E41" s="182"/>
      <c r="F41" s="182"/>
      <c r="G41" s="182"/>
      <c r="H41" s="183"/>
    </row>
    <row r="42" spans="2:16" x14ac:dyDescent="0.2">
      <c r="B42" s="122"/>
      <c r="C42" s="182" t="s">
        <v>193</v>
      </c>
      <c r="D42" s="182"/>
      <c r="E42" s="182"/>
      <c r="F42" s="182"/>
      <c r="G42" s="182"/>
      <c r="H42" s="183"/>
    </row>
    <row r="43" spans="2:16" ht="15" x14ac:dyDescent="0.25">
      <c r="B43" s="184" t="s">
        <v>194</v>
      </c>
      <c r="C43" s="185"/>
      <c r="D43" s="185"/>
      <c r="E43" s="185"/>
      <c r="F43" s="185"/>
      <c r="G43" s="185"/>
      <c r="H43" s="186"/>
      <c r="J43" s="121"/>
      <c r="K43" s="121"/>
      <c r="L43" s="121"/>
      <c r="M43" s="121"/>
      <c r="N43" s="121"/>
      <c r="O43" s="121"/>
      <c r="P43" s="121"/>
    </row>
    <row r="44" spans="2:16" x14ac:dyDescent="0.2">
      <c r="B44" s="122"/>
      <c r="C44" s="182" t="s">
        <v>195</v>
      </c>
      <c r="D44" s="182"/>
      <c r="E44" s="182"/>
      <c r="F44" s="182"/>
      <c r="G44" s="182"/>
      <c r="H44" s="183"/>
    </row>
    <row r="45" spans="2:16" ht="15" x14ac:dyDescent="0.25">
      <c r="B45" s="184" t="s">
        <v>196</v>
      </c>
      <c r="C45" s="185"/>
      <c r="D45" s="185"/>
      <c r="E45" s="185"/>
      <c r="F45" s="185"/>
      <c r="G45" s="185"/>
      <c r="H45" s="186"/>
      <c r="J45" s="121"/>
      <c r="K45" s="121"/>
      <c r="L45" s="121"/>
      <c r="M45" s="121"/>
      <c r="N45" s="121"/>
      <c r="O45" s="121"/>
      <c r="P45" s="121"/>
    </row>
    <row r="46" spans="2:16" x14ac:dyDescent="0.2">
      <c r="B46" s="122"/>
      <c r="C46" s="182" t="s">
        <v>197</v>
      </c>
      <c r="D46" s="182"/>
      <c r="E46" s="182"/>
      <c r="F46" s="182"/>
      <c r="G46" s="182"/>
      <c r="H46" s="183"/>
    </row>
    <row r="47" spans="2:16" ht="15" thickBot="1" x14ac:dyDescent="0.25">
      <c r="B47" s="123"/>
      <c r="C47" s="187" t="s">
        <v>198</v>
      </c>
      <c r="D47" s="187"/>
      <c r="E47" s="187"/>
      <c r="F47" s="187"/>
      <c r="G47" s="187"/>
      <c r="H47" s="188"/>
    </row>
  </sheetData>
  <mergeCells count="62">
    <mergeCell ref="C21:H21"/>
    <mergeCell ref="C22:H22"/>
    <mergeCell ref="C26:H26"/>
    <mergeCell ref="C8:H8"/>
    <mergeCell ref="C10:H10"/>
    <mergeCell ref="C11:H11"/>
    <mergeCell ref="C13:H13"/>
    <mergeCell ref="C14:H14"/>
    <mergeCell ref="C15:H15"/>
    <mergeCell ref="C24:H24"/>
    <mergeCell ref="B23:H23"/>
    <mergeCell ref="B25:H25"/>
    <mergeCell ref="B28:H28"/>
    <mergeCell ref="C27:H27"/>
    <mergeCell ref="C29:H29"/>
    <mergeCell ref="B5:H5"/>
    <mergeCell ref="B9:H9"/>
    <mergeCell ref="B12:H12"/>
    <mergeCell ref="B17:H17"/>
    <mergeCell ref="B20:H20"/>
    <mergeCell ref="C16:H16"/>
    <mergeCell ref="C18:H18"/>
    <mergeCell ref="C19:H19"/>
    <mergeCell ref="C6:H6"/>
    <mergeCell ref="C7:H7"/>
    <mergeCell ref="C31:H31"/>
    <mergeCell ref="C32:H32"/>
    <mergeCell ref="C33:H33"/>
    <mergeCell ref="C35:H35"/>
    <mergeCell ref="C47:H47"/>
    <mergeCell ref="C41:H41"/>
    <mergeCell ref="C42:H42"/>
    <mergeCell ref="C44:H44"/>
    <mergeCell ref="C46:H46"/>
    <mergeCell ref="B40:H40"/>
    <mergeCell ref="B43:H43"/>
    <mergeCell ref="B45:H45"/>
    <mergeCell ref="C37:H37"/>
    <mergeCell ref="J9:P9"/>
    <mergeCell ref="K10:P10"/>
    <mergeCell ref="J11:P11"/>
    <mergeCell ref="C39:H39"/>
    <mergeCell ref="J3:P3"/>
    <mergeCell ref="J4:P4"/>
    <mergeCell ref="J5:P5"/>
    <mergeCell ref="K6:P6"/>
    <mergeCell ref="J7:P7"/>
    <mergeCell ref="K8:P8"/>
    <mergeCell ref="B3:H3"/>
    <mergeCell ref="B4:H4"/>
    <mergeCell ref="B30:H30"/>
    <mergeCell ref="B34:H34"/>
    <mergeCell ref="B36:H36"/>
    <mergeCell ref="B38:H38"/>
    <mergeCell ref="K17:P17"/>
    <mergeCell ref="J18:P18"/>
    <mergeCell ref="K19:P19"/>
    <mergeCell ref="K12:P12"/>
    <mergeCell ref="J13:P13"/>
    <mergeCell ref="K14:P14"/>
    <mergeCell ref="K15:P15"/>
    <mergeCell ref="J16:P16"/>
  </mergeCells>
  <printOptions horizontalCentered="1"/>
  <pageMargins left="0.25" right="0.25" top="0.75" bottom="0.75" header="0.3" footer="0.3"/>
  <pageSetup scale="75" orientation="landscape" r:id="rId1"/>
  <headerFooter>
    <oddHeader>&amp;C&amp;"Arial,Regular"&amp;16Fauquier Chamber of Commerce 2025 Budget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E140-898E-4931-B52F-6D6CBC3A1090}">
  <sheetPr>
    <pageSetUpPr fitToPage="1"/>
  </sheetPr>
  <dimension ref="A1:L186"/>
  <sheetViews>
    <sheetView zoomScale="120" zoomScaleNormal="120" workbookViewId="0">
      <pane xSplit="1" ySplit="6" topLeftCell="F129" activePane="bottomRight" state="frozen"/>
      <selection pane="topRight" activeCell="B1" sqref="B1"/>
      <selection pane="bottomLeft" activeCell="A7" sqref="A7"/>
      <selection pane="bottomRight" activeCell="I133" sqref="I133"/>
    </sheetView>
  </sheetViews>
  <sheetFormatPr defaultRowHeight="15" x14ac:dyDescent="0.25"/>
  <cols>
    <col min="1" max="1" width="41.42578125" customWidth="1"/>
    <col min="2" max="2" width="16.85546875" customWidth="1"/>
    <col min="3" max="6" width="15.85546875" style="2" customWidth="1"/>
    <col min="7" max="7" width="15.140625" style="71" customWidth="1"/>
    <col min="8" max="8" width="39.85546875" style="16" customWidth="1"/>
    <col min="9" max="9" width="14.42578125" customWidth="1"/>
    <col min="10" max="10" width="29.85546875" customWidth="1"/>
    <col min="11" max="11" width="10.85546875" bestFit="1" customWidth="1"/>
    <col min="12" max="12" width="9.5703125" bestFit="1" customWidth="1"/>
  </cols>
  <sheetData>
    <row r="1" spans="1:12" ht="18" x14ac:dyDescent="0.25">
      <c r="A1" s="178" t="s">
        <v>9</v>
      </c>
      <c r="B1" s="178"/>
      <c r="C1" s="178"/>
      <c r="D1" s="178"/>
      <c r="E1" s="178"/>
      <c r="F1" s="178"/>
      <c r="G1" s="178"/>
      <c r="H1" s="178"/>
      <c r="I1" s="178"/>
    </row>
    <row r="2" spans="1:12" ht="18" x14ac:dyDescent="0.25">
      <c r="A2" s="178" t="s">
        <v>123</v>
      </c>
      <c r="B2" s="178"/>
      <c r="C2" s="178"/>
      <c r="D2" s="178"/>
      <c r="E2" s="178"/>
      <c r="F2" s="178"/>
      <c r="G2" s="178"/>
      <c r="H2" s="178"/>
      <c r="I2" s="178"/>
    </row>
    <row r="3" spans="1:12" ht="18" x14ac:dyDescent="0.25">
      <c r="A3" s="179" t="s">
        <v>147</v>
      </c>
      <c r="B3" s="179"/>
      <c r="C3" s="179"/>
      <c r="D3" s="179"/>
      <c r="E3" s="179"/>
      <c r="F3" s="179"/>
      <c r="G3" s="179"/>
      <c r="H3" s="179"/>
      <c r="I3" s="179"/>
    </row>
    <row r="4" spans="1:12" ht="21" thickBot="1" x14ac:dyDescent="0.35">
      <c r="A4" s="9"/>
      <c r="B4" s="9"/>
      <c r="C4" s="24"/>
      <c r="D4" s="24"/>
      <c r="E4" s="24"/>
      <c r="F4" s="24"/>
      <c r="G4" s="22"/>
      <c r="H4" s="15"/>
      <c r="I4" s="39"/>
    </row>
    <row r="5" spans="1:12" ht="55.5" customHeight="1" thickTop="1" x14ac:dyDescent="0.25">
      <c r="A5" s="9"/>
      <c r="B5" s="32" t="s">
        <v>116</v>
      </c>
      <c r="C5" s="32" t="s">
        <v>116</v>
      </c>
      <c r="D5" s="32" t="s">
        <v>116</v>
      </c>
      <c r="E5" s="72" t="s">
        <v>124</v>
      </c>
      <c r="F5" s="73">
        <v>2024</v>
      </c>
      <c r="G5" s="53" t="s">
        <v>115</v>
      </c>
      <c r="H5" s="28"/>
      <c r="I5" s="197" t="s">
        <v>154</v>
      </c>
    </row>
    <row r="6" spans="1:12" ht="15.75" thickBot="1" x14ac:dyDescent="0.3">
      <c r="A6" s="1"/>
      <c r="B6" s="31">
        <v>2021</v>
      </c>
      <c r="C6" s="31">
        <v>2022</v>
      </c>
      <c r="D6" s="31">
        <v>2023</v>
      </c>
      <c r="E6" s="74" t="s">
        <v>153</v>
      </c>
      <c r="F6" s="75" t="s">
        <v>108</v>
      </c>
      <c r="G6" s="54" t="s">
        <v>125</v>
      </c>
      <c r="H6" s="29"/>
      <c r="I6" s="198"/>
    </row>
    <row r="7" spans="1:12" x14ac:dyDescent="0.25">
      <c r="A7" s="3" t="s">
        <v>0</v>
      </c>
      <c r="B7" s="3"/>
      <c r="C7" s="11"/>
      <c r="D7" s="11"/>
      <c r="E7" s="76"/>
      <c r="F7" s="76"/>
      <c r="G7" s="55"/>
      <c r="H7" s="3" t="s">
        <v>0</v>
      </c>
      <c r="I7" s="40"/>
    </row>
    <row r="8" spans="1:12" x14ac:dyDescent="0.25">
      <c r="A8" s="4" t="s">
        <v>10</v>
      </c>
      <c r="B8" s="4"/>
      <c r="C8" s="11"/>
      <c r="D8" s="11"/>
      <c r="E8" s="76"/>
      <c r="F8" s="76"/>
      <c r="G8" s="55"/>
      <c r="H8" s="4" t="s">
        <v>10</v>
      </c>
      <c r="I8" s="40"/>
      <c r="J8">
        <f>F11/(D11+D12)</f>
        <v>0.77149275598241918</v>
      </c>
    </row>
    <row r="9" spans="1:12" x14ac:dyDescent="0.25">
      <c r="A9" s="4" t="s">
        <v>150</v>
      </c>
      <c r="B9" s="4"/>
      <c r="C9" s="11"/>
      <c r="D9" s="11"/>
      <c r="E9" s="76"/>
      <c r="F9" s="76"/>
      <c r="G9" s="55"/>
      <c r="H9" s="4" t="s">
        <v>155</v>
      </c>
      <c r="I9" s="40">
        <v>1.05</v>
      </c>
      <c r="J9">
        <f>E11/(D11+D12)</f>
        <v>0.6429106299853492</v>
      </c>
    </row>
    <row r="10" spans="1:12" x14ac:dyDescent="0.25">
      <c r="A10" s="5" t="s">
        <v>12</v>
      </c>
      <c r="B10" s="11">
        <v>1700</v>
      </c>
      <c r="C10" s="11">
        <v>3200</v>
      </c>
      <c r="D10" s="11">
        <v>2750</v>
      </c>
      <c r="E10" s="76">
        <v>3790</v>
      </c>
      <c r="F10" s="76">
        <f>E10/10*12</f>
        <v>4548</v>
      </c>
      <c r="G10" s="56">
        <v>10250</v>
      </c>
      <c r="H10" s="5" t="s">
        <v>12</v>
      </c>
      <c r="I10" s="25">
        <f>55*K11</f>
        <v>4620</v>
      </c>
      <c r="K10">
        <v>0.77</v>
      </c>
    </row>
    <row r="11" spans="1:12" ht="24.6" customHeight="1" x14ac:dyDescent="0.25">
      <c r="A11" s="5" t="s">
        <v>11</v>
      </c>
      <c r="B11" s="11">
        <v>71367.08</v>
      </c>
      <c r="C11" s="11">
        <v>78646.25</v>
      </c>
      <c r="D11" s="11">
        <v>76870</v>
      </c>
      <c r="E11" s="76">
        <v>59241</v>
      </c>
      <c r="F11" s="76">
        <f t="shared" ref="F11:F12" si="0">E11/10*12</f>
        <v>71089.200000000012</v>
      </c>
      <c r="G11" s="56">
        <v>99500</v>
      </c>
      <c r="H11" s="5" t="s">
        <v>11</v>
      </c>
      <c r="I11" s="25">
        <f>((F11*$K$10)+(F12*$K$10))*I9</f>
        <v>79872.685200000022</v>
      </c>
      <c r="J11" s="30" t="s">
        <v>148</v>
      </c>
      <c r="K11">
        <f>7*12</f>
        <v>84</v>
      </c>
    </row>
    <row r="12" spans="1:12" ht="22.7" customHeight="1" x14ac:dyDescent="0.25">
      <c r="A12" s="5" t="s">
        <v>13</v>
      </c>
      <c r="B12" s="11">
        <v>9900</v>
      </c>
      <c r="C12" s="11">
        <v>15010</v>
      </c>
      <c r="D12" s="11">
        <v>15275</v>
      </c>
      <c r="E12" s="76">
        <v>23085</v>
      </c>
      <c r="F12" s="76">
        <f t="shared" si="0"/>
        <v>27702</v>
      </c>
      <c r="G12" s="56">
        <v>62012.5</v>
      </c>
      <c r="H12" s="5" t="s">
        <v>13</v>
      </c>
      <c r="I12" s="25">
        <f>(K11*K12)*I9</f>
        <v>29087.478000000003</v>
      </c>
      <c r="J12" s="30" t="s">
        <v>149</v>
      </c>
      <c r="K12" s="2">
        <v>329.79</v>
      </c>
      <c r="L12" s="2">
        <f>E12/70</f>
        <v>329.78571428571428</v>
      </c>
    </row>
    <row r="13" spans="1:12" ht="14.45" customHeight="1" x14ac:dyDescent="0.25">
      <c r="A13" s="5" t="s">
        <v>130</v>
      </c>
      <c r="B13" s="12"/>
      <c r="C13" s="12"/>
      <c r="D13" s="12"/>
      <c r="E13" s="77">
        <v>0</v>
      </c>
      <c r="F13" s="78">
        <f>E13/9*12</f>
        <v>0</v>
      </c>
      <c r="G13" s="57">
        <v>-13007.25</v>
      </c>
      <c r="H13" s="51"/>
      <c r="I13" s="26"/>
      <c r="J13" s="30"/>
    </row>
    <row r="14" spans="1:12" x14ac:dyDescent="0.25">
      <c r="A14" s="91" t="s">
        <v>14</v>
      </c>
      <c r="B14" s="92">
        <f>SUM(B10:B12)</f>
        <v>82967.08</v>
      </c>
      <c r="C14" s="92">
        <f>SUM(C10:C12)</f>
        <v>96856.25</v>
      </c>
      <c r="D14" s="92">
        <f>SUM(D10:D12)</f>
        <v>94895</v>
      </c>
      <c r="E14" s="92">
        <f>SUM(E10:E13)</f>
        <v>86116</v>
      </c>
      <c r="F14" s="92">
        <f>SUM(F10:F13)</f>
        <v>103339.20000000001</v>
      </c>
      <c r="G14" s="93">
        <f>SUM(G10:G13)</f>
        <v>158755.25</v>
      </c>
      <c r="H14" s="91" t="s">
        <v>14</v>
      </c>
      <c r="I14" s="94">
        <f>SUM(I10:I12)</f>
        <v>113580.16320000002</v>
      </c>
    </row>
    <row r="15" spans="1:12" x14ac:dyDescent="0.25">
      <c r="A15" s="3" t="s">
        <v>15</v>
      </c>
      <c r="B15" s="11"/>
      <c r="C15" s="11"/>
      <c r="D15" s="11"/>
      <c r="E15" s="76"/>
      <c r="F15" s="76"/>
      <c r="G15" s="55"/>
      <c r="H15" s="3" t="s">
        <v>15</v>
      </c>
      <c r="I15" s="41"/>
    </row>
    <row r="16" spans="1:12" x14ac:dyDescent="0.25">
      <c r="A16" s="5" t="s">
        <v>16</v>
      </c>
      <c r="B16" s="11">
        <v>7100</v>
      </c>
      <c r="C16" s="11"/>
      <c r="D16" s="11">
        <v>10341.07</v>
      </c>
      <c r="E16" s="76">
        <v>25050</v>
      </c>
      <c r="F16" s="76">
        <f>+E16</f>
        <v>25050</v>
      </c>
      <c r="G16" s="56">
        <v>12000</v>
      </c>
      <c r="H16" s="5" t="s">
        <v>16</v>
      </c>
      <c r="I16" s="25">
        <v>15000</v>
      </c>
    </row>
    <row r="17" spans="1:11" x14ac:dyDescent="0.25">
      <c r="A17" s="5" t="s">
        <v>17</v>
      </c>
      <c r="B17" s="11">
        <v>1600</v>
      </c>
      <c r="C17" s="11"/>
      <c r="D17" s="11">
        <v>1750</v>
      </c>
      <c r="E17" s="76">
        <v>1400</v>
      </c>
      <c r="F17" s="76">
        <f>+E17</f>
        <v>1400</v>
      </c>
      <c r="G17" s="56">
        <v>1750</v>
      </c>
      <c r="H17" s="5" t="s">
        <v>17</v>
      </c>
      <c r="I17" s="25">
        <v>1750</v>
      </c>
    </row>
    <row r="18" spans="1:11" x14ac:dyDescent="0.25">
      <c r="A18" s="5" t="s">
        <v>18</v>
      </c>
      <c r="B18" s="12">
        <v>-5393.34</v>
      </c>
      <c r="C18" s="12"/>
      <c r="D18" s="12">
        <v>-10935.64</v>
      </c>
      <c r="E18" s="77">
        <v>-24795.919999999998</v>
      </c>
      <c r="F18" s="78">
        <f>+E18</f>
        <v>-24795.919999999998</v>
      </c>
      <c r="G18" s="58">
        <v>-10000</v>
      </c>
      <c r="H18" s="5" t="s">
        <v>18</v>
      </c>
      <c r="I18" s="42">
        <v>-15000</v>
      </c>
    </row>
    <row r="19" spans="1:11" x14ac:dyDescent="0.25">
      <c r="A19" s="6" t="s">
        <v>19</v>
      </c>
      <c r="B19" s="33">
        <f t="shared" ref="B19:F19" si="1">SUM(B16:B18)</f>
        <v>3306.66</v>
      </c>
      <c r="C19" s="33">
        <f t="shared" si="1"/>
        <v>0</v>
      </c>
      <c r="D19" s="33">
        <f t="shared" si="1"/>
        <v>1155.4300000000003</v>
      </c>
      <c r="E19" s="82">
        <f t="shared" si="1"/>
        <v>1654.0800000000017</v>
      </c>
      <c r="F19" s="82">
        <f t="shared" si="1"/>
        <v>1654.0800000000017</v>
      </c>
      <c r="G19" s="52">
        <f>SUM(G16:G18)</f>
        <v>3750</v>
      </c>
      <c r="H19" s="109" t="s">
        <v>19</v>
      </c>
      <c r="I19" s="110">
        <f>SUM(I16:I18)</f>
        <v>1750</v>
      </c>
    </row>
    <row r="20" spans="1:11" x14ac:dyDescent="0.25">
      <c r="A20" s="3"/>
      <c r="B20" s="11"/>
      <c r="C20" s="11"/>
      <c r="D20" s="11"/>
      <c r="E20" s="76"/>
      <c r="F20" s="76"/>
      <c r="G20" s="55"/>
      <c r="H20" s="3"/>
      <c r="I20" s="41"/>
    </row>
    <row r="21" spans="1:11" x14ac:dyDescent="0.25">
      <c r="A21" s="5" t="s">
        <v>117</v>
      </c>
      <c r="B21" s="11"/>
      <c r="C21" s="11"/>
      <c r="D21" s="11">
        <v>1750</v>
      </c>
      <c r="E21" s="76">
        <v>0</v>
      </c>
      <c r="F21" s="76">
        <f>E21/9*12</f>
        <v>0</v>
      </c>
      <c r="G21" s="56">
        <v>4000</v>
      </c>
      <c r="H21" s="5" t="s">
        <v>109</v>
      </c>
      <c r="I21" s="25">
        <v>2000</v>
      </c>
      <c r="J21" s="2"/>
    </row>
    <row r="22" spans="1:11" x14ac:dyDescent="0.25">
      <c r="A22" s="5" t="s">
        <v>118</v>
      </c>
      <c r="B22" s="11">
        <v>20625</v>
      </c>
      <c r="C22" s="11">
        <v>21820</v>
      </c>
      <c r="D22" s="11">
        <v>13883.33</v>
      </c>
      <c r="E22" s="76">
        <v>29571.22</v>
      </c>
      <c r="F22" s="76">
        <f>+E22</f>
        <v>29571.22</v>
      </c>
      <c r="G22" s="56">
        <v>14400</v>
      </c>
      <c r="H22" s="5" t="s">
        <v>110</v>
      </c>
      <c r="I22" s="25">
        <f>(160*175)*1.04</f>
        <v>29120</v>
      </c>
      <c r="J22" t="s">
        <v>151</v>
      </c>
    </row>
    <row r="23" spans="1:11" x14ac:dyDescent="0.25">
      <c r="A23" s="5" t="s">
        <v>119</v>
      </c>
      <c r="B23" s="12">
        <v>-9402.91</v>
      </c>
      <c r="C23" s="12">
        <v>-6282.1</v>
      </c>
      <c r="D23" s="12">
        <v>-2284.21</v>
      </c>
      <c r="E23" s="77">
        <v>-4751.7700000000004</v>
      </c>
      <c r="F23" s="78">
        <f>E23</f>
        <v>-4751.7700000000004</v>
      </c>
      <c r="G23" s="58">
        <v>-7103.98</v>
      </c>
      <c r="H23" s="5" t="s">
        <v>111</v>
      </c>
      <c r="I23" s="42">
        <f>E23+(-2000)</f>
        <v>-6751.77</v>
      </c>
      <c r="J23" t="s">
        <v>152</v>
      </c>
    </row>
    <row r="24" spans="1:11" x14ac:dyDescent="0.25">
      <c r="A24" s="6" t="s">
        <v>139</v>
      </c>
      <c r="B24" s="33">
        <f t="shared" ref="B24:F24" si="2">SUM(B21:B23)</f>
        <v>11222.09</v>
      </c>
      <c r="C24" s="33">
        <f t="shared" si="2"/>
        <v>15537.9</v>
      </c>
      <c r="D24" s="33">
        <f t="shared" si="2"/>
        <v>13349.119999999999</v>
      </c>
      <c r="E24" s="82">
        <f t="shared" si="2"/>
        <v>24819.45</v>
      </c>
      <c r="F24" s="82">
        <f t="shared" si="2"/>
        <v>24819.45</v>
      </c>
      <c r="G24" s="52">
        <f>SUM(G21:G23)</f>
        <v>11296.02</v>
      </c>
      <c r="H24" s="109" t="s">
        <v>139</v>
      </c>
      <c r="I24" s="110">
        <f>SUM(I21:I23)</f>
        <v>24368.23</v>
      </c>
    </row>
    <row r="25" spans="1:11" x14ac:dyDescent="0.25">
      <c r="A25" s="3"/>
      <c r="B25" s="11"/>
      <c r="C25" s="11"/>
      <c r="D25" s="11"/>
      <c r="E25" s="76"/>
      <c r="F25" s="76"/>
      <c r="G25" s="55"/>
      <c r="H25" s="3"/>
      <c r="I25" s="41"/>
      <c r="K25" t="s">
        <v>157</v>
      </c>
    </row>
    <row r="26" spans="1:11" x14ac:dyDescent="0.25">
      <c r="A26" s="5" t="s">
        <v>20</v>
      </c>
      <c r="B26" s="11">
        <v>500</v>
      </c>
      <c r="C26" s="11"/>
      <c r="D26" s="11"/>
      <c r="E26" s="76">
        <v>100</v>
      </c>
      <c r="F26" s="76">
        <f>E26</f>
        <v>100</v>
      </c>
      <c r="G26" s="56"/>
      <c r="H26" s="5" t="s">
        <v>20</v>
      </c>
      <c r="I26" s="25">
        <v>250</v>
      </c>
    </row>
    <row r="27" spans="1:11" x14ac:dyDescent="0.25">
      <c r="A27" s="5" t="s">
        <v>21</v>
      </c>
      <c r="B27" s="11">
        <v>415</v>
      </c>
      <c r="C27" s="11">
        <v>15</v>
      </c>
      <c r="D27" s="11">
        <v>1266</v>
      </c>
      <c r="E27" s="76">
        <v>1175</v>
      </c>
      <c r="F27" s="76">
        <f t="shared" ref="F27:F28" si="3">E27</f>
        <v>1175</v>
      </c>
      <c r="G27" s="56">
        <v>1200</v>
      </c>
      <c r="H27" s="5" t="s">
        <v>21</v>
      </c>
      <c r="I27" s="25">
        <v>1500</v>
      </c>
    </row>
    <row r="28" spans="1:11" x14ac:dyDescent="0.25">
      <c r="A28" s="5" t="s">
        <v>22</v>
      </c>
      <c r="B28" s="11">
        <v>-78</v>
      </c>
      <c r="C28" s="11"/>
      <c r="D28" s="11">
        <v>-1150.55</v>
      </c>
      <c r="E28" s="76">
        <v>-185.07</v>
      </c>
      <c r="F28" s="76">
        <f t="shared" si="3"/>
        <v>-185.07</v>
      </c>
      <c r="G28" s="59">
        <v>-1200</v>
      </c>
      <c r="H28" s="5" t="s">
        <v>22</v>
      </c>
      <c r="I28" s="43">
        <v>-500</v>
      </c>
    </row>
    <row r="29" spans="1:11" ht="19.350000000000001" customHeight="1" x14ac:dyDescent="0.25">
      <c r="A29" s="5" t="s">
        <v>77</v>
      </c>
      <c r="B29" s="11">
        <v>0</v>
      </c>
      <c r="C29" s="11">
        <v>650</v>
      </c>
      <c r="D29" s="11">
        <v>0</v>
      </c>
      <c r="E29" s="76"/>
      <c r="F29" s="76">
        <f t="shared" ref="F29:F31" si="4">E29/9*12</f>
        <v>0</v>
      </c>
      <c r="G29" s="55"/>
      <c r="H29" s="5" t="s">
        <v>77</v>
      </c>
      <c r="I29" s="44"/>
    </row>
    <row r="30" spans="1:11" ht="18" customHeight="1" x14ac:dyDescent="0.25">
      <c r="A30" s="5" t="s">
        <v>78</v>
      </c>
      <c r="B30" s="11">
        <v>0</v>
      </c>
      <c r="C30" s="11">
        <v>680</v>
      </c>
      <c r="D30" s="11">
        <v>43</v>
      </c>
      <c r="E30" s="76">
        <v>30</v>
      </c>
      <c r="F30" s="76">
        <f>E30</f>
        <v>30</v>
      </c>
      <c r="G30" s="55">
        <v>0</v>
      </c>
      <c r="H30" s="5" t="s">
        <v>78</v>
      </c>
      <c r="I30" s="44"/>
    </row>
    <row r="31" spans="1:11" x14ac:dyDescent="0.25">
      <c r="A31" s="5" t="s">
        <v>79</v>
      </c>
      <c r="B31" s="12">
        <v>0</v>
      </c>
      <c r="C31" s="12">
        <v>-756.54</v>
      </c>
      <c r="D31" s="12">
        <v>0</v>
      </c>
      <c r="E31" s="77"/>
      <c r="F31" s="78">
        <f t="shared" si="4"/>
        <v>0</v>
      </c>
      <c r="G31" s="60">
        <v>0</v>
      </c>
      <c r="H31" s="5" t="s">
        <v>79</v>
      </c>
      <c r="I31" s="45"/>
    </row>
    <row r="32" spans="1:11" x14ac:dyDescent="0.25">
      <c r="A32" s="6" t="s">
        <v>23</v>
      </c>
      <c r="B32" s="33">
        <f t="shared" ref="B32:G32" si="5">SUM(B26:B31)</f>
        <v>837</v>
      </c>
      <c r="C32" s="33">
        <f t="shared" si="5"/>
        <v>588.46</v>
      </c>
      <c r="D32" s="33">
        <f t="shared" si="5"/>
        <v>158.45000000000005</v>
      </c>
      <c r="E32" s="82">
        <f t="shared" si="5"/>
        <v>1119.93</v>
      </c>
      <c r="F32" s="82">
        <f t="shared" si="5"/>
        <v>1119.93</v>
      </c>
      <c r="G32" s="52">
        <f t="shared" si="5"/>
        <v>0</v>
      </c>
      <c r="H32" s="109" t="s">
        <v>23</v>
      </c>
      <c r="I32" s="110">
        <f>SUM(I26:I31)</f>
        <v>1250</v>
      </c>
    </row>
    <row r="33" spans="1:10" x14ac:dyDescent="0.25">
      <c r="A33" s="3"/>
      <c r="B33" s="11"/>
      <c r="C33" s="11"/>
      <c r="D33" s="11"/>
      <c r="E33" s="76"/>
      <c r="F33" s="76"/>
      <c r="G33" s="55"/>
      <c r="H33" s="3"/>
      <c r="I33" s="44"/>
    </row>
    <row r="34" spans="1:10" x14ac:dyDescent="0.25">
      <c r="A34" s="5" t="s">
        <v>24</v>
      </c>
      <c r="B34" s="11">
        <v>19150</v>
      </c>
      <c r="C34" s="11">
        <v>9800</v>
      </c>
      <c r="D34" s="11">
        <v>8951.98</v>
      </c>
      <c r="E34" s="76">
        <v>5725</v>
      </c>
      <c r="F34" s="76">
        <f>E34/9*12</f>
        <v>7633.333333333333</v>
      </c>
      <c r="G34" s="55">
        <v>5000</v>
      </c>
      <c r="H34" s="5" t="s">
        <v>112</v>
      </c>
      <c r="I34" s="44">
        <v>14100</v>
      </c>
    </row>
    <row r="35" spans="1:10" x14ac:dyDescent="0.25">
      <c r="A35" s="5" t="s">
        <v>25</v>
      </c>
      <c r="B35" s="11">
        <f>8000+950</f>
        <v>8950</v>
      </c>
      <c r="C35" s="11">
        <v>6039</v>
      </c>
      <c r="D35" s="11">
        <v>5825</v>
      </c>
      <c r="E35" s="76">
        <v>5350</v>
      </c>
      <c r="F35" s="76">
        <f>E35/9*12</f>
        <v>7133.3333333333339</v>
      </c>
      <c r="G35" s="55">
        <v>1600</v>
      </c>
      <c r="H35" s="5" t="s">
        <v>113</v>
      </c>
      <c r="I35" s="44">
        <f>E35+3375</f>
        <v>8725</v>
      </c>
    </row>
    <row r="36" spans="1:10" x14ac:dyDescent="0.25">
      <c r="A36" s="5" t="s">
        <v>26</v>
      </c>
      <c r="B36" s="12">
        <f>-(21821.96+474.43)</f>
        <v>-22296.39</v>
      </c>
      <c r="C36" s="12">
        <v>-25300.43</v>
      </c>
      <c r="D36" s="12">
        <v>-21043.38</v>
      </c>
      <c r="E36" s="77">
        <v>-6492.64</v>
      </c>
      <c r="F36" s="78">
        <f>E36/9*12</f>
        <v>-8656.8533333333344</v>
      </c>
      <c r="G36" s="60">
        <v>-20000</v>
      </c>
      <c r="H36" s="5" t="s">
        <v>94</v>
      </c>
      <c r="I36" s="45">
        <v>-25000</v>
      </c>
      <c r="J36" s="2"/>
    </row>
    <row r="37" spans="1:10" x14ac:dyDescent="0.25">
      <c r="A37" s="6" t="s">
        <v>27</v>
      </c>
      <c r="B37" s="36">
        <f t="shared" ref="B37:G37" si="6">SUM(B34:B36)</f>
        <v>5803.6100000000006</v>
      </c>
      <c r="C37" s="34">
        <f t="shared" si="6"/>
        <v>-9461.43</v>
      </c>
      <c r="D37" s="34">
        <f t="shared" si="6"/>
        <v>-6266.4000000000015</v>
      </c>
      <c r="E37" s="87">
        <f t="shared" si="6"/>
        <v>4582.3599999999997</v>
      </c>
      <c r="F37" s="87">
        <f t="shared" si="6"/>
        <v>6109.8133333333335</v>
      </c>
      <c r="G37" s="61">
        <f t="shared" si="6"/>
        <v>-13400</v>
      </c>
      <c r="H37" s="109" t="s">
        <v>114</v>
      </c>
      <c r="I37" s="111">
        <f>SUM(I34:I36)</f>
        <v>-2175</v>
      </c>
    </row>
    <row r="38" spans="1:10" x14ac:dyDescent="0.25">
      <c r="B38" s="11"/>
      <c r="C38" s="11"/>
      <c r="D38" s="11"/>
      <c r="E38" s="76"/>
      <c r="F38" s="76"/>
      <c r="G38" s="55"/>
      <c r="H38" s="3"/>
      <c r="I38" s="44"/>
    </row>
    <row r="39" spans="1:10" x14ac:dyDescent="0.25">
      <c r="A39" s="4" t="s">
        <v>97</v>
      </c>
      <c r="B39" s="11">
        <v>0</v>
      </c>
      <c r="C39" s="11">
        <v>-1687.34</v>
      </c>
      <c r="D39" s="11">
        <v>-856.85</v>
      </c>
      <c r="E39" s="76">
        <v>77</v>
      </c>
      <c r="F39" s="76">
        <f>E39/9*12</f>
        <v>102.66666666666666</v>
      </c>
      <c r="G39" s="55">
        <v>-1500</v>
      </c>
      <c r="H39" s="4" t="s">
        <v>97</v>
      </c>
      <c r="I39" s="44"/>
    </row>
    <row r="40" spans="1:10" x14ac:dyDescent="0.25">
      <c r="A40" s="4" t="s">
        <v>98</v>
      </c>
      <c r="B40" s="12">
        <v>250</v>
      </c>
      <c r="C40" s="12">
        <v>840</v>
      </c>
      <c r="D40" s="12">
        <v>680</v>
      </c>
      <c r="E40" s="77">
        <v>-104.89</v>
      </c>
      <c r="F40" s="78">
        <f>E40/9*12</f>
        <v>-139.85333333333332</v>
      </c>
      <c r="G40" s="60">
        <v>1500</v>
      </c>
      <c r="H40" s="4" t="s">
        <v>98</v>
      </c>
      <c r="I40" s="45">
        <v>-150</v>
      </c>
    </row>
    <row r="41" spans="1:10" x14ac:dyDescent="0.25">
      <c r="A41" s="6" t="s">
        <v>99</v>
      </c>
      <c r="B41" s="35">
        <f t="shared" ref="B41:G41" si="7">+B40+B39</f>
        <v>250</v>
      </c>
      <c r="C41" s="35">
        <f t="shared" si="7"/>
        <v>-847.33999999999992</v>
      </c>
      <c r="D41" s="35">
        <f t="shared" si="7"/>
        <v>-176.85000000000002</v>
      </c>
      <c r="E41" s="80">
        <f t="shared" si="7"/>
        <v>-27.89</v>
      </c>
      <c r="F41" s="80">
        <f t="shared" si="7"/>
        <v>-37.186666666666667</v>
      </c>
      <c r="G41" s="62">
        <f t="shared" si="7"/>
        <v>0</v>
      </c>
      <c r="H41" s="109" t="s">
        <v>99</v>
      </c>
      <c r="I41" s="112">
        <f>+I40+I39</f>
        <v>-150</v>
      </c>
    </row>
    <row r="42" spans="1:10" x14ac:dyDescent="0.25">
      <c r="A42" s="6"/>
      <c r="B42" s="35"/>
      <c r="C42" s="35"/>
      <c r="D42" s="35"/>
      <c r="E42" s="80"/>
      <c r="F42" s="76"/>
      <c r="G42" s="52"/>
      <c r="H42" s="6"/>
      <c r="I42" s="46"/>
    </row>
    <row r="43" spans="1:10" x14ac:dyDescent="0.25">
      <c r="A43" s="4" t="s">
        <v>120</v>
      </c>
      <c r="B43" s="35"/>
      <c r="C43" s="35"/>
      <c r="D43" s="11">
        <v>2150</v>
      </c>
      <c r="E43" s="76">
        <v>2757</v>
      </c>
      <c r="F43" s="76">
        <f>E43/10*12</f>
        <v>3308.3999999999996</v>
      </c>
      <c r="G43" s="55">
        <v>2400</v>
      </c>
      <c r="H43" s="4" t="s">
        <v>120</v>
      </c>
      <c r="I43" s="44">
        <f>250*12</f>
        <v>3000</v>
      </c>
      <c r="J43" t="s">
        <v>143</v>
      </c>
    </row>
    <row r="44" spans="1:10" x14ac:dyDescent="0.25">
      <c r="A44" s="4" t="s">
        <v>100</v>
      </c>
      <c r="B44" s="12">
        <v>0</v>
      </c>
      <c r="C44" s="12">
        <v>-1039.56</v>
      </c>
      <c r="D44" s="12">
        <v>-1220.82</v>
      </c>
      <c r="E44" s="77">
        <v>-1137.49</v>
      </c>
      <c r="F44" s="78">
        <f>E44/10*12</f>
        <v>-1364.9879999999998</v>
      </c>
      <c r="G44" s="60">
        <v>-600</v>
      </c>
      <c r="H44" s="4" t="s">
        <v>100</v>
      </c>
      <c r="I44" s="44">
        <v>-1200</v>
      </c>
    </row>
    <row r="45" spans="1:10" x14ac:dyDescent="0.25">
      <c r="A45" s="6" t="s">
        <v>121</v>
      </c>
      <c r="B45" s="35">
        <f t="shared" ref="B45:G45" si="8">SUM(B43:B44)</f>
        <v>0</v>
      </c>
      <c r="C45" s="35">
        <f t="shared" si="8"/>
        <v>-1039.56</v>
      </c>
      <c r="D45" s="35">
        <f t="shared" si="8"/>
        <v>929.18000000000006</v>
      </c>
      <c r="E45" s="80">
        <f t="shared" si="8"/>
        <v>1619.51</v>
      </c>
      <c r="F45" s="80">
        <f t="shared" si="8"/>
        <v>1943.4119999999998</v>
      </c>
      <c r="G45" s="63">
        <f t="shared" si="8"/>
        <v>1800</v>
      </c>
      <c r="H45" s="109" t="s">
        <v>121</v>
      </c>
      <c r="I45" s="113">
        <f>SUM(I43:I44)</f>
        <v>1800</v>
      </c>
    </row>
    <row r="46" spans="1:10" x14ac:dyDescent="0.25">
      <c r="A46" s="4"/>
      <c r="B46" s="35"/>
      <c r="C46" s="35"/>
      <c r="D46" s="35"/>
      <c r="E46" s="80"/>
      <c r="F46" s="76"/>
      <c r="G46" s="52"/>
      <c r="H46" s="4"/>
      <c r="I46" s="46"/>
    </row>
    <row r="47" spans="1:10" ht="29.25" x14ac:dyDescent="0.25">
      <c r="A47" s="4" t="s">
        <v>126</v>
      </c>
      <c r="B47" s="11">
        <v>0</v>
      </c>
      <c r="C47" s="11">
        <v>30</v>
      </c>
      <c r="D47" s="11">
        <v>0</v>
      </c>
      <c r="E47" s="76">
        <v>0</v>
      </c>
      <c r="F47" s="76">
        <f>E47/9*12</f>
        <v>0</v>
      </c>
      <c r="G47" s="55"/>
      <c r="H47" s="4" t="s">
        <v>131</v>
      </c>
      <c r="I47" s="44"/>
    </row>
    <row r="48" spans="1:10" ht="29.25" x14ac:dyDescent="0.25">
      <c r="A48" s="4" t="s">
        <v>127</v>
      </c>
      <c r="B48" s="11">
        <v>0</v>
      </c>
      <c r="C48" s="11">
        <v>10</v>
      </c>
      <c r="D48" s="11">
        <v>0</v>
      </c>
      <c r="E48" s="76">
        <v>0</v>
      </c>
      <c r="F48" s="76">
        <f>E48/9*12</f>
        <v>0</v>
      </c>
      <c r="G48" s="55"/>
      <c r="H48" s="4" t="s">
        <v>132</v>
      </c>
      <c r="I48" s="44"/>
    </row>
    <row r="49" spans="1:10" x14ac:dyDescent="0.25">
      <c r="A49" s="4" t="s">
        <v>128</v>
      </c>
      <c r="B49" s="12">
        <v>0</v>
      </c>
      <c r="C49" s="12">
        <f>-151.45</f>
        <v>-151.44999999999999</v>
      </c>
      <c r="D49" s="12">
        <v>-431.39</v>
      </c>
      <c r="E49" s="77">
        <v>-181.43</v>
      </c>
      <c r="F49" s="78">
        <f>E49/10*12</f>
        <v>-217.71600000000001</v>
      </c>
      <c r="G49" s="60"/>
      <c r="H49" s="4" t="s">
        <v>133</v>
      </c>
      <c r="I49" s="45">
        <v>-200</v>
      </c>
    </row>
    <row r="50" spans="1:10" x14ac:dyDescent="0.25">
      <c r="A50" s="6" t="s">
        <v>101</v>
      </c>
      <c r="B50" s="35">
        <f t="shared" ref="B50:G50" si="9">SUM(B47:B49)</f>
        <v>0</v>
      </c>
      <c r="C50" s="35">
        <f t="shared" si="9"/>
        <v>-111.44999999999999</v>
      </c>
      <c r="D50" s="35">
        <f t="shared" si="9"/>
        <v>-431.39</v>
      </c>
      <c r="E50" s="80">
        <f t="shared" si="9"/>
        <v>-181.43</v>
      </c>
      <c r="F50" s="80">
        <f t="shared" si="9"/>
        <v>-217.71600000000001</v>
      </c>
      <c r="G50" s="52">
        <f t="shared" si="9"/>
        <v>0</v>
      </c>
      <c r="H50" s="109" t="s">
        <v>101</v>
      </c>
      <c r="I50" s="113">
        <f>SUM(I47:I49)</f>
        <v>-200</v>
      </c>
    </row>
    <row r="51" spans="1:10" x14ac:dyDescent="0.25">
      <c r="A51" s="6"/>
      <c r="B51" s="35"/>
      <c r="C51" s="35"/>
      <c r="D51" s="35"/>
      <c r="E51" s="80"/>
      <c r="F51" s="76"/>
      <c r="G51" s="52"/>
      <c r="H51" s="6"/>
      <c r="I51" s="46"/>
    </row>
    <row r="52" spans="1:10" x14ac:dyDescent="0.25">
      <c r="A52" s="4" t="s">
        <v>102</v>
      </c>
      <c r="B52" s="11">
        <v>0</v>
      </c>
      <c r="C52" s="11">
        <v>950</v>
      </c>
      <c r="D52" s="11">
        <v>0</v>
      </c>
      <c r="E52" s="76">
        <v>0</v>
      </c>
      <c r="F52" s="76">
        <f>E52/9*12</f>
        <v>0</v>
      </c>
      <c r="G52" s="55">
        <v>0</v>
      </c>
      <c r="H52" s="4" t="s">
        <v>102</v>
      </c>
      <c r="I52" s="44">
        <v>0</v>
      </c>
    </row>
    <row r="53" spans="1:10" x14ac:dyDescent="0.25">
      <c r="A53" s="4" t="s">
        <v>103</v>
      </c>
      <c r="B53" s="11">
        <v>0</v>
      </c>
      <c r="C53" s="11">
        <v>820</v>
      </c>
      <c r="D53" s="11">
        <v>0</v>
      </c>
      <c r="E53" s="76">
        <v>0</v>
      </c>
      <c r="F53" s="76">
        <f>E53/9*12</f>
        <v>0</v>
      </c>
      <c r="G53" s="55">
        <v>0</v>
      </c>
      <c r="H53" s="4" t="s">
        <v>103</v>
      </c>
      <c r="I53" s="44">
        <v>0</v>
      </c>
    </row>
    <row r="54" spans="1:10" x14ac:dyDescent="0.25">
      <c r="A54" s="4" t="s">
        <v>104</v>
      </c>
      <c r="B54" s="12">
        <v>0</v>
      </c>
      <c r="C54" s="12">
        <v>-769.91</v>
      </c>
      <c r="D54" s="12">
        <v>0</v>
      </c>
      <c r="E54" s="77">
        <v>0</v>
      </c>
      <c r="F54" s="78">
        <f>E54/9*12</f>
        <v>0</v>
      </c>
      <c r="G54" s="60">
        <v>0</v>
      </c>
      <c r="H54" s="4" t="s">
        <v>104</v>
      </c>
      <c r="I54" s="45">
        <v>0</v>
      </c>
    </row>
    <row r="55" spans="1:10" x14ac:dyDescent="0.25">
      <c r="A55" s="6" t="s">
        <v>105</v>
      </c>
      <c r="B55" s="14">
        <f t="shared" ref="B55:G55" si="10">SUM(B52:B54)</f>
        <v>0</v>
      </c>
      <c r="C55" s="14">
        <f t="shared" si="10"/>
        <v>1000.09</v>
      </c>
      <c r="D55" s="14">
        <f t="shared" si="10"/>
        <v>0</v>
      </c>
      <c r="E55" s="81">
        <f t="shared" si="10"/>
        <v>0</v>
      </c>
      <c r="F55" s="81">
        <f t="shared" si="10"/>
        <v>0</v>
      </c>
      <c r="G55" s="52">
        <f t="shared" si="10"/>
        <v>0</v>
      </c>
      <c r="H55" s="6" t="s">
        <v>105</v>
      </c>
      <c r="I55" s="46">
        <f>SUM(I52:I54)</f>
        <v>0</v>
      </c>
    </row>
    <row r="56" spans="1:10" x14ac:dyDescent="0.25">
      <c r="A56" s="95" t="s">
        <v>28</v>
      </c>
      <c r="B56" s="96">
        <f>(((((B15)+(B19))+(B24))+(B32))+(B37))++B41+B44+B50+B55</f>
        <v>21419.360000000001</v>
      </c>
      <c r="C56" s="96">
        <f>(((((C15)+(C19))+(C24))+(C32))+(C37))++C41+C44+C50+C55</f>
        <v>5666.670000000001</v>
      </c>
      <c r="D56" s="96">
        <f>(((((D15)+(D19))+(D24))+(D32))+(D37))++D41+D45+D50+D55</f>
        <v>8717.5399999999991</v>
      </c>
      <c r="E56" s="96">
        <f>(((((E15)+(E19))+(E24))+(E32))+(E37))++E41+E45+E50+E55</f>
        <v>33586.01</v>
      </c>
      <c r="F56" s="96">
        <f>(((((F15)+(F19))+(F24))+(F32))+(F37))++F41+F45+F50+F55</f>
        <v>35391.782666666666</v>
      </c>
      <c r="G56" s="97">
        <f>(((((G15)+(G19))+(G24))+(G32))+(G37))+G41+G45+G50+G55</f>
        <v>3446.0200000000004</v>
      </c>
      <c r="H56" s="95" t="s">
        <v>28</v>
      </c>
      <c r="I56" s="98">
        <f>I19+I24+I32+I37+I41+I45+I50</f>
        <v>26643.23</v>
      </c>
    </row>
    <row r="57" spans="1:10" x14ac:dyDescent="0.25">
      <c r="A57" s="3"/>
      <c r="B57" s="11"/>
      <c r="C57" s="11"/>
      <c r="D57" s="11"/>
      <c r="E57" s="76"/>
      <c r="F57" s="76"/>
      <c r="G57" s="55"/>
      <c r="H57" s="3"/>
      <c r="I57" s="44"/>
    </row>
    <row r="58" spans="1:10" x14ac:dyDescent="0.25">
      <c r="A58" s="3" t="s">
        <v>29</v>
      </c>
      <c r="B58" s="11"/>
      <c r="C58" s="11"/>
      <c r="D58" s="11"/>
      <c r="E58" s="76"/>
      <c r="F58" s="76"/>
      <c r="G58" s="55"/>
      <c r="H58" s="3" t="s">
        <v>29</v>
      </c>
      <c r="I58" s="44"/>
    </row>
    <row r="59" spans="1:10" x14ac:dyDescent="0.25">
      <c r="A59" s="5" t="s">
        <v>75</v>
      </c>
      <c r="B59" s="11">
        <v>0</v>
      </c>
      <c r="C59" s="11">
        <v>75</v>
      </c>
      <c r="D59" s="11">
        <v>0</v>
      </c>
      <c r="E59" s="76"/>
      <c r="F59" s="76">
        <f t="shared" ref="F59:F64" si="11">E59/9*12</f>
        <v>0</v>
      </c>
      <c r="G59" s="55">
        <v>0</v>
      </c>
      <c r="H59" s="5" t="s">
        <v>75</v>
      </c>
      <c r="I59" s="44">
        <v>0</v>
      </c>
    </row>
    <row r="60" spans="1:10" ht="17.25" customHeight="1" x14ac:dyDescent="0.25">
      <c r="A60" s="5" t="s">
        <v>30</v>
      </c>
      <c r="B60" s="11">
        <v>25500</v>
      </c>
      <c r="C60" s="11">
        <v>42195</v>
      </c>
      <c r="D60" s="11">
        <v>18500</v>
      </c>
      <c r="E60" s="76">
        <v>18313</v>
      </c>
      <c r="F60" s="76">
        <f>E60/10*12</f>
        <v>21975.599999999999</v>
      </c>
      <c r="G60" s="55">
        <v>56695.76</v>
      </c>
      <c r="H60" s="5" t="s">
        <v>158</v>
      </c>
      <c r="I60" s="44">
        <f>(5*5000)+(3*5000)+(4*3500)</f>
        <v>54000</v>
      </c>
      <c r="J60" t="s">
        <v>159</v>
      </c>
    </row>
    <row r="61" spans="1:10" ht="17.25" customHeight="1" x14ac:dyDescent="0.25">
      <c r="A61" s="120" t="s">
        <v>156</v>
      </c>
      <c r="B61" s="11"/>
      <c r="C61" s="11"/>
      <c r="D61" s="11"/>
      <c r="E61" s="76">
        <v>-1050</v>
      </c>
      <c r="F61" s="76"/>
      <c r="G61" s="55"/>
      <c r="H61" s="5"/>
      <c r="I61" s="44"/>
    </row>
    <row r="62" spans="1:10" ht="17.45" customHeight="1" x14ac:dyDescent="0.25">
      <c r="A62" s="5" t="s">
        <v>106</v>
      </c>
      <c r="B62" s="11">
        <v>0</v>
      </c>
      <c r="C62" s="11">
        <v>3315</v>
      </c>
      <c r="D62" s="11">
        <v>1710</v>
      </c>
      <c r="E62" s="76">
        <v>925</v>
      </c>
      <c r="F62" s="76">
        <f>E62/10*12</f>
        <v>1110</v>
      </c>
      <c r="G62" s="55">
        <v>4800</v>
      </c>
      <c r="H62" s="5" t="s">
        <v>160</v>
      </c>
      <c r="I62" s="44">
        <v>1000</v>
      </c>
    </row>
    <row r="63" spans="1:10" ht="17.45" customHeight="1" x14ac:dyDescent="0.25">
      <c r="A63" s="5" t="s">
        <v>134</v>
      </c>
      <c r="B63" s="11"/>
      <c r="C63" s="11"/>
      <c r="D63" s="11"/>
      <c r="E63" s="76">
        <v>0</v>
      </c>
      <c r="F63" s="76">
        <f t="shared" si="11"/>
        <v>0</v>
      </c>
      <c r="G63" s="55">
        <v>2300</v>
      </c>
      <c r="H63" s="5" t="s">
        <v>134</v>
      </c>
      <c r="I63" s="44">
        <v>0</v>
      </c>
    </row>
    <row r="64" spans="1:10" ht="17.45" customHeight="1" x14ac:dyDescent="0.25">
      <c r="A64" s="5" t="s">
        <v>135</v>
      </c>
      <c r="B64" s="11"/>
      <c r="C64" s="11"/>
      <c r="D64" s="11"/>
      <c r="E64" s="76">
        <v>0</v>
      </c>
      <c r="F64" s="76">
        <f t="shared" si="11"/>
        <v>0</v>
      </c>
      <c r="G64" s="55">
        <v>-575</v>
      </c>
      <c r="H64" s="5" t="s">
        <v>135</v>
      </c>
      <c r="I64" s="44">
        <v>0</v>
      </c>
    </row>
    <row r="65" spans="1:9" x14ac:dyDescent="0.25">
      <c r="A65" s="5" t="s">
        <v>80</v>
      </c>
      <c r="B65" s="12">
        <v>9317.52</v>
      </c>
      <c r="C65" s="12">
        <v>9317.52</v>
      </c>
      <c r="D65" s="12">
        <v>9317.52</v>
      </c>
      <c r="E65" s="77">
        <v>7764.6</v>
      </c>
      <c r="F65" s="78">
        <f>E65/10*12</f>
        <v>9317.52</v>
      </c>
      <c r="G65" s="60">
        <v>9317.52</v>
      </c>
      <c r="H65" s="27" t="s">
        <v>80</v>
      </c>
      <c r="I65" s="45">
        <v>9317.52</v>
      </c>
    </row>
    <row r="66" spans="1:9" x14ac:dyDescent="0.25">
      <c r="A66" s="91" t="s">
        <v>31</v>
      </c>
      <c r="B66" s="92">
        <f t="shared" ref="B66:G66" si="12">SUM(B59:B65)</f>
        <v>34817.520000000004</v>
      </c>
      <c r="C66" s="92">
        <f t="shared" si="12"/>
        <v>54902.520000000004</v>
      </c>
      <c r="D66" s="92">
        <f t="shared" si="12"/>
        <v>29527.52</v>
      </c>
      <c r="E66" s="92">
        <f>SUM(E59:E65)</f>
        <v>25952.6</v>
      </c>
      <c r="F66" s="92">
        <f t="shared" si="12"/>
        <v>32403.119999999999</v>
      </c>
      <c r="G66" s="93">
        <f t="shared" si="12"/>
        <v>72538.28</v>
      </c>
      <c r="H66" s="91" t="s">
        <v>31</v>
      </c>
      <c r="I66" s="94">
        <f>SUM(I59:I65)</f>
        <v>64317.520000000004</v>
      </c>
    </row>
    <row r="67" spans="1:9" x14ac:dyDescent="0.25">
      <c r="A67" s="3" t="s">
        <v>32</v>
      </c>
      <c r="B67" s="11"/>
      <c r="C67" s="11"/>
      <c r="D67" s="11"/>
      <c r="E67" s="76"/>
      <c r="F67" s="76"/>
      <c r="G67" s="55"/>
      <c r="H67" s="3" t="s">
        <v>32</v>
      </c>
      <c r="I67" s="44"/>
    </row>
    <row r="68" spans="1:9" x14ac:dyDescent="0.25">
      <c r="A68" s="5" t="s">
        <v>33</v>
      </c>
      <c r="B68" s="11">
        <v>22950</v>
      </c>
      <c r="C68" s="11"/>
      <c r="D68" s="11">
        <v>4424</v>
      </c>
      <c r="E68" s="76"/>
      <c r="F68" s="76">
        <f>E68/9*12</f>
        <v>0</v>
      </c>
      <c r="G68" s="56">
        <v>7300</v>
      </c>
      <c r="H68" s="5" t="s">
        <v>33</v>
      </c>
      <c r="I68" s="25">
        <v>7500</v>
      </c>
    </row>
    <row r="69" spans="1:9" ht="14.45" customHeight="1" x14ac:dyDescent="0.25">
      <c r="A69" s="5" t="s">
        <v>34</v>
      </c>
      <c r="B69" s="11">
        <v>-14706</v>
      </c>
      <c r="C69" s="11"/>
      <c r="D69" s="11">
        <v>-625</v>
      </c>
      <c r="E69" s="76"/>
      <c r="F69" s="76">
        <f>E69/9*12</f>
        <v>0</v>
      </c>
      <c r="G69" s="59">
        <v>-750</v>
      </c>
      <c r="H69" s="5" t="s">
        <v>34</v>
      </c>
      <c r="I69" s="43">
        <v>0</v>
      </c>
    </row>
    <row r="70" spans="1:9" ht="14.45" customHeight="1" x14ac:dyDescent="0.25">
      <c r="A70" s="5" t="s">
        <v>136</v>
      </c>
      <c r="B70" s="11"/>
      <c r="C70" s="11"/>
      <c r="D70" s="11"/>
      <c r="E70" s="76">
        <v>100</v>
      </c>
      <c r="F70" s="76">
        <f>E70</f>
        <v>100</v>
      </c>
      <c r="G70" s="64">
        <v>5250</v>
      </c>
      <c r="H70" s="5" t="s">
        <v>136</v>
      </c>
      <c r="I70" s="43"/>
    </row>
    <row r="71" spans="1:9" ht="14.45" customHeight="1" x14ac:dyDescent="0.25">
      <c r="A71" s="5" t="s">
        <v>137</v>
      </c>
      <c r="B71" s="12"/>
      <c r="C71" s="12"/>
      <c r="D71" s="12"/>
      <c r="E71" s="77"/>
      <c r="F71" s="78">
        <f>E71/9*12</f>
        <v>0</v>
      </c>
      <c r="G71" s="58">
        <v>-525</v>
      </c>
      <c r="H71" s="5" t="s">
        <v>137</v>
      </c>
      <c r="I71" s="42"/>
    </row>
    <row r="72" spans="1:9" x14ac:dyDescent="0.25">
      <c r="A72" s="91" t="s">
        <v>35</v>
      </c>
      <c r="B72" s="92">
        <f>SUM(B68:B69)</f>
        <v>8244</v>
      </c>
      <c r="C72" s="92">
        <f>SUM(C68:C69)</f>
        <v>0</v>
      </c>
      <c r="D72" s="92">
        <f>SUM(D68:D69)</f>
        <v>3799</v>
      </c>
      <c r="E72" s="99">
        <f>SUM(E68:E71)</f>
        <v>100</v>
      </c>
      <c r="F72" s="99">
        <f>SUM(F68:F71)</f>
        <v>100</v>
      </c>
      <c r="G72" s="93">
        <f>SUM(G68:G71)</f>
        <v>11275</v>
      </c>
      <c r="H72" s="91" t="s">
        <v>35</v>
      </c>
      <c r="I72" s="93">
        <f>SUM(I68:I71)</f>
        <v>7500</v>
      </c>
    </row>
    <row r="73" spans="1:9" x14ac:dyDescent="0.25">
      <c r="A73" s="6"/>
      <c r="B73" s="11"/>
      <c r="C73" s="11"/>
      <c r="D73" s="11"/>
      <c r="E73" s="76"/>
      <c r="F73" s="76"/>
      <c r="G73" s="55"/>
      <c r="H73" s="6"/>
      <c r="I73" s="44"/>
    </row>
    <row r="74" spans="1:9" x14ac:dyDescent="0.25">
      <c r="A74" s="3" t="s">
        <v>36</v>
      </c>
      <c r="B74" s="11"/>
      <c r="C74" s="11"/>
      <c r="D74" s="11"/>
      <c r="E74" s="76"/>
      <c r="F74" s="76"/>
      <c r="G74" s="55"/>
      <c r="H74" s="3" t="s">
        <v>36</v>
      </c>
      <c r="I74" s="44"/>
    </row>
    <row r="75" spans="1:9" x14ac:dyDescent="0.25">
      <c r="A75" s="5" t="s">
        <v>37</v>
      </c>
      <c r="B75" s="11">
        <v>0</v>
      </c>
      <c r="C75" s="11">
        <v>1900</v>
      </c>
      <c r="D75" s="11">
        <v>0</v>
      </c>
      <c r="E75" s="76">
        <v>1575</v>
      </c>
      <c r="F75" s="76">
        <f>E75/10*12</f>
        <v>1890</v>
      </c>
      <c r="G75" s="55">
        <v>0</v>
      </c>
      <c r="H75" s="5" t="s">
        <v>37</v>
      </c>
      <c r="I75" s="44">
        <v>2000</v>
      </c>
    </row>
    <row r="76" spans="1:9" x14ac:dyDescent="0.25">
      <c r="A76" s="5" t="s">
        <v>38</v>
      </c>
      <c r="B76" s="11">
        <v>0</v>
      </c>
      <c r="C76" s="11">
        <v>467</v>
      </c>
      <c r="D76" s="11">
        <v>0</v>
      </c>
      <c r="E76" s="76">
        <v>975</v>
      </c>
      <c r="F76" s="76">
        <f>E76/10*12</f>
        <v>1170</v>
      </c>
      <c r="G76" s="55">
        <v>0</v>
      </c>
      <c r="H76" s="5" t="s">
        <v>38</v>
      </c>
      <c r="I76" s="44">
        <v>1000</v>
      </c>
    </row>
    <row r="77" spans="1:9" x14ac:dyDescent="0.25">
      <c r="A77" s="5" t="s">
        <v>39</v>
      </c>
      <c r="B77" s="12">
        <v>0</v>
      </c>
      <c r="C77" s="12">
        <v>-1814.93</v>
      </c>
      <c r="D77" s="12">
        <v>-176.62</v>
      </c>
      <c r="E77" s="77">
        <v>-1005.62</v>
      </c>
      <c r="F77" s="78">
        <f>E77/10*12</f>
        <v>-1206.7439999999999</v>
      </c>
      <c r="G77" s="60">
        <v>0</v>
      </c>
      <c r="H77" s="5" t="s">
        <v>39</v>
      </c>
      <c r="I77" s="45">
        <v>-1200</v>
      </c>
    </row>
    <row r="78" spans="1:9" x14ac:dyDescent="0.25">
      <c r="A78" s="6" t="s">
        <v>40</v>
      </c>
      <c r="B78" s="36">
        <f t="shared" ref="B78:F78" si="13">SUM(B75:B77)</f>
        <v>0</v>
      </c>
      <c r="C78" s="36">
        <f t="shared" si="13"/>
        <v>552.06999999999994</v>
      </c>
      <c r="D78" s="34">
        <f t="shared" si="13"/>
        <v>-176.62</v>
      </c>
      <c r="E78" s="87">
        <f t="shared" si="13"/>
        <v>1544.38</v>
      </c>
      <c r="F78" s="87">
        <f t="shared" si="13"/>
        <v>1853.2560000000001</v>
      </c>
      <c r="G78" s="65">
        <f>SUM(G75:G77)</f>
        <v>0</v>
      </c>
      <c r="H78" s="109" t="s">
        <v>40</v>
      </c>
      <c r="I78" s="114">
        <f>SUM(I75:I77)</f>
        <v>1800</v>
      </c>
    </row>
    <row r="79" spans="1:9" x14ac:dyDescent="0.25">
      <c r="A79" s="3"/>
      <c r="B79" s="11"/>
      <c r="C79" s="11"/>
      <c r="D79" s="11"/>
      <c r="E79" s="76"/>
      <c r="F79" s="76"/>
      <c r="G79" s="55"/>
      <c r="H79" s="3"/>
      <c r="I79" s="44"/>
    </row>
    <row r="80" spans="1:9" x14ac:dyDescent="0.25">
      <c r="A80" s="5" t="s">
        <v>41</v>
      </c>
      <c r="B80" s="11">
        <v>0</v>
      </c>
      <c r="C80" s="11">
        <v>4595</v>
      </c>
      <c r="D80" s="11">
        <v>6150</v>
      </c>
      <c r="E80" s="76">
        <v>5275</v>
      </c>
      <c r="F80" s="76">
        <f>E80/10*12</f>
        <v>6330</v>
      </c>
      <c r="G80" s="55">
        <v>7000</v>
      </c>
      <c r="H80" s="5" t="s">
        <v>41</v>
      </c>
      <c r="I80" s="44">
        <v>8200</v>
      </c>
    </row>
    <row r="81" spans="1:9" x14ac:dyDescent="0.25">
      <c r="A81" s="5" t="s">
        <v>42</v>
      </c>
      <c r="B81" s="11">
        <v>8800</v>
      </c>
      <c r="C81" s="11">
        <v>12900</v>
      </c>
      <c r="D81" s="11">
        <v>10725</v>
      </c>
      <c r="E81" s="76">
        <v>10050</v>
      </c>
      <c r="F81" s="76">
        <f>E81/10*12</f>
        <v>12060</v>
      </c>
      <c r="G81" s="55">
        <v>13500</v>
      </c>
      <c r="H81" s="5" t="s">
        <v>42</v>
      </c>
      <c r="I81" s="44">
        <v>12150</v>
      </c>
    </row>
    <row r="82" spans="1:9" x14ac:dyDescent="0.25">
      <c r="A82" s="5" t="s">
        <v>43</v>
      </c>
      <c r="B82" s="12">
        <v>-3445</v>
      </c>
      <c r="C82" s="12">
        <v>-10775.39</v>
      </c>
      <c r="D82" s="12">
        <v>-11910.86</v>
      </c>
      <c r="E82" s="77">
        <v>-8984.32</v>
      </c>
      <c r="F82" s="78">
        <f>E82/10*12</f>
        <v>-10781.184000000001</v>
      </c>
      <c r="G82" s="60">
        <v>-10600</v>
      </c>
      <c r="H82" s="5" t="s">
        <v>43</v>
      </c>
      <c r="I82" s="45">
        <v>-15000</v>
      </c>
    </row>
    <row r="83" spans="1:9" x14ac:dyDescent="0.25">
      <c r="A83" s="6" t="s">
        <v>44</v>
      </c>
      <c r="B83" s="33">
        <f t="shared" ref="B83:F83" si="14">SUM(B80:B82)</f>
        <v>5355</v>
      </c>
      <c r="C83" s="33">
        <f t="shared" si="14"/>
        <v>6719.6100000000006</v>
      </c>
      <c r="D83" s="33">
        <f t="shared" si="14"/>
        <v>4964.1399999999994</v>
      </c>
      <c r="E83" s="82">
        <f t="shared" si="14"/>
        <v>6340.68</v>
      </c>
      <c r="F83" s="82">
        <f t="shared" si="14"/>
        <v>7608.8159999999989</v>
      </c>
      <c r="G83" s="52">
        <f>SUM(G80:G82)</f>
        <v>9900</v>
      </c>
      <c r="H83" s="109" t="s">
        <v>44</v>
      </c>
      <c r="I83" s="110">
        <f>SUM(I80:I82)</f>
        <v>5350</v>
      </c>
    </row>
    <row r="84" spans="1:9" x14ac:dyDescent="0.25">
      <c r="A84" s="3"/>
      <c r="B84" s="11"/>
      <c r="C84" s="11"/>
      <c r="D84" s="11"/>
      <c r="E84" s="76"/>
      <c r="F84" s="76"/>
      <c r="G84" s="55"/>
      <c r="H84" s="3"/>
      <c r="I84" s="44"/>
    </row>
    <row r="85" spans="1:9" x14ac:dyDescent="0.25">
      <c r="A85" s="5" t="s">
        <v>71</v>
      </c>
      <c r="B85" s="11"/>
      <c r="C85" s="11"/>
      <c r="D85" s="11"/>
      <c r="E85" s="76"/>
      <c r="F85" s="76"/>
      <c r="G85" s="56">
        <v>0</v>
      </c>
      <c r="H85" s="5" t="s">
        <v>71</v>
      </c>
      <c r="I85" s="25">
        <v>1000</v>
      </c>
    </row>
    <row r="86" spans="1:9" ht="15" customHeight="1" x14ac:dyDescent="0.25">
      <c r="A86" s="5" t="s">
        <v>45</v>
      </c>
      <c r="B86" s="11">
        <f>6505+20</f>
        <v>6525</v>
      </c>
      <c r="C86" s="11"/>
      <c r="D86" s="11">
        <v>2245</v>
      </c>
      <c r="E86" s="76">
        <v>3775</v>
      </c>
      <c r="F86" s="76">
        <f>E86/10*12</f>
        <v>4530</v>
      </c>
      <c r="G86" s="56">
        <v>1000</v>
      </c>
      <c r="H86" s="5" t="s">
        <v>45</v>
      </c>
      <c r="I86" s="25">
        <v>4500</v>
      </c>
    </row>
    <row r="87" spans="1:9" x14ac:dyDescent="0.25">
      <c r="A87" s="5" t="s">
        <v>46</v>
      </c>
      <c r="B87" s="12">
        <v>-6322.1</v>
      </c>
      <c r="C87" s="12"/>
      <c r="D87" s="12">
        <v>-1336.06</v>
      </c>
      <c r="E87" s="77">
        <v>-3920.08</v>
      </c>
      <c r="F87" s="78">
        <f>E87/9*12</f>
        <v>-5226.7733333333335</v>
      </c>
      <c r="G87" s="58">
        <v>-150</v>
      </c>
      <c r="H87" s="5" t="s">
        <v>46</v>
      </c>
      <c r="I87" s="42">
        <v>-4500</v>
      </c>
    </row>
    <row r="88" spans="1:9" x14ac:dyDescent="0.25">
      <c r="A88" s="6" t="s">
        <v>47</v>
      </c>
      <c r="B88" s="33">
        <f t="shared" ref="B88:G88" si="15">SUM(B86:B87)</f>
        <v>202.89999999999964</v>
      </c>
      <c r="C88" s="33">
        <f t="shared" si="15"/>
        <v>0</v>
      </c>
      <c r="D88" s="33">
        <f t="shared" si="15"/>
        <v>908.94</v>
      </c>
      <c r="E88" s="83">
        <f t="shared" si="15"/>
        <v>-145.07999999999993</v>
      </c>
      <c r="F88" s="83">
        <f t="shared" si="15"/>
        <v>-696.77333333333354</v>
      </c>
      <c r="G88" s="52">
        <f t="shared" si="15"/>
        <v>850</v>
      </c>
      <c r="H88" s="109" t="s">
        <v>47</v>
      </c>
      <c r="I88" s="110">
        <f>SUM(I85:I87)</f>
        <v>1000</v>
      </c>
    </row>
    <row r="89" spans="1:9" x14ac:dyDescent="0.25">
      <c r="A89" s="3"/>
      <c r="B89" s="11"/>
      <c r="C89" s="11"/>
      <c r="D89" s="11"/>
      <c r="E89" s="76"/>
      <c r="F89" s="76"/>
      <c r="G89" s="55"/>
      <c r="H89" s="3"/>
      <c r="I89" s="44"/>
    </row>
    <row r="90" spans="1:9" ht="13.35" customHeight="1" x14ac:dyDescent="0.25">
      <c r="A90" s="5" t="s">
        <v>48</v>
      </c>
      <c r="B90" s="11"/>
      <c r="C90" s="11"/>
      <c r="D90" s="11"/>
      <c r="E90" s="76">
        <v>0</v>
      </c>
      <c r="F90" s="76">
        <f>E90/9*12</f>
        <v>0</v>
      </c>
      <c r="G90" s="55"/>
      <c r="H90" s="21" t="s">
        <v>48</v>
      </c>
      <c r="I90" s="44"/>
    </row>
    <row r="91" spans="1:9" x14ac:dyDescent="0.25">
      <c r="A91" s="5" t="s">
        <v>49</v>
      </c>
      <c r="B91" s="12"/>
      <c r="C91" s="12"/>
      <c r="D91" s="12"/>
      <c r="E91" s="77">
        <v>0</v>
      </c>
      <c r="F91" s="78">
        <f>E91/9*12</f>
        <v>0</v>
      </c>
      <c r="G91" s="60"/>
      <c r="H91" s="27" t="s">
        <v>49</v>
      </c>
      <c r="I91" s="45"/>
    </row>
    <row r="92" spans="1:9" x14ac:dyDescent="0.25">
      <c r="A92" s="6" t="s">
        <v>50</v>
      </c>
      <c r="B92" s="35">
        <f t="shared" ref="B92:D92" si="16">SUM(B90:B91)</f>
        <v>0</v>
      </c>
      <c r="C92" s="35">
        <f t="shared" si="16"/>
        <v>0</v>
      </c>
      <c r="D92" s="35">
        <f t="shared" si="16"/>
        <v>0</v>
      </c>
      <c r="E92" s="80">
        <f>SUM(E90:E91)</f>
        <v>0</v>
      </c>
      <c r="F92" s="80">
        <f>SUM(F90:F91)</f>
        <v>0</v>
      </c>
      <c r="G92" s="62">
        <f>SUM(G90:G91)</f>
        <v>0</v>
      </c>
      <c r="H92" s="115" t="s">
        <v>50</v>
      </c>
      <c r="I92" s="112">
        <f>SUM(I90:I91)</f>
        <v>0</v>
      </c>
    </row>
    <row r="93" spans="1:9" x14ac:dyDescent="0.25">
      <c r="A93" s="6"/>
      <c r="B93" s="11"/>
      <c r="C93" s="11"/>
      <c r="D93" s="11"/>
      <c r="E93" s="76"/>
      <c r="F93" s="76"/>
      <c r="G93" s="55"/>
      <c r="H93" s="6"/>
      <c r="I93" s="44"/>
    </row>
    <row r="94" spans="1:9" x14ac:dyDescent="0.25">
      <c r="A94" s="5" t="s">
        <v>72</v>
      </c>
      <c r="B94" s="11"/>
      <c r="C94" s="11"/>
      <c r="D94" s="11"/>
      <c r="E94" s="76">
        <v>0</v>
      </c>
      <c r="F94" s="76">
        <v>0</v>
      </c>
      <c r="G94" s="55"/>
      <c r="H94" s="5" t="s">
        <v>72</v>
      </c>
      <c r="I94" s="44"/>
    </row>
    <row r="95" spans="1:9" ht="15" customHeight="1" x14ac:dyDescent="0.25">
      <c r="A95" s="5" t="s">
        <v>73</v>
      </c>
      <c r="B95" s="11"/>
      <c r="C95" s="11"/>
      <c r="D95" s="11"/>
      <c r="E95" s="76">
        <v>0</v>
      </c>
      <c r="F95" s="76">
        <v>0</v>
      </c>
      <c r="G95" s="55"/>
      <c r="H95" s="5" t="s">
        <v>73</v>
      </c>
      <c r="I95" s="44"/>
    </row>
    <row r="96" spans="1:9" x14ac:dyDescent="0.25">
      <c r="A96" s="5" t="s">
        <v>74</v>
      </c>
      <c r="B96" s="12"/>
      <c r="C96" s="12"/>
      <c r="D96" s="12"/>
      <c r="E96" s="77">
        <v>0</v>
      </c>
      <c r="F96" s="78">
        <v>0</v>
      </c>
      <c r="G96" s="60"/>
      <c r="H96" s="5" t="s">
        <v>74</v>
      </c>
      <c r="I96" s="45"/>
    </row>
    <row r="97" spans="1:11" x14ac:dyDescent="0.25">
      <c r="A97" s="6" t="s">
        <v>76</v>
      </c>
      <c r="B97" s="13">
        <f t="shared" ref="B97:D97" si="17">SUM(B94:B96)</f>
        <v>0</v>
      </c>
      <c r="C97" s="13">
        <f t="shared" si="17"/>
        <v>0</v>
      </c>
      <c r="D97" s="13">
        <f t="shared" si="17"/>
        <v>0</v>
      </c>
      <c r="E97" s="84">
        <f>SUM(E94:E96)</f>
        <v>0</v>
      </c>
      <c r="F97" s="84">
        <f>SUM(F94:F96)</f>
        <v>0</v>
      </c>
      <c r="G97" s="66">
        <f>SUM(G94:G96)</f>
        <v>0</v>
      </c>
      <c r="H97" s="109" t="s">
        <v>76</v>
      </c>
      <c r="I97" s="112">
        <f>SUM(I94:I96)</f>
        <v>0</v>
      </c>
    </row>
    <row r="98" spans="1:11" x14ac:dyDescent="0.25">
      <c r="A98" s="100" t="s">
        <v>1</v>
      </c>
      <c r="B98" s="101">
        <f t="shared" ref="B98:G98" si="18">((((B74)+(B78))+(B83))+(B88))+(B92)+B97</f>
        <v>5557.9</v>
      </c>
      <c r="C98" s="101">
        <f t="shared" si="18"/>
        <v>7271.68</v>
      </c>
      <c r="D98" s="101">
        <f t="shared" si="18"/>
        <v>5696.4599999999991</v>
      </c>
      <c r="E98" s="101">
        <f t="shared" si="18"/>
        <v>7739.9800000000005</v>
      </c>
      <c r="F98" s="101">
        <f t="shared" si="18"/>
        <v>8765.2986666666657</v>
      </c>
      <c r="G98" s="102">
        <f t="shared" si="18"/>
        <v>10750</v>
      </c>
      <c r="H98" s="103" t="s">
        <v>1</v>
      </c>
      <c r="I98" s="104">
        <f>I97+I92+I88+I83+I78</f>
        <v>8150</v>
      </c>
    </row>
    <row r="99" spans="1:11" x14ac:dyDescent="0.25">
      <c r="A99" s="3"/>
      <c r="B99" s="11"/>
      <c r="C99" s="11"/>
      <c r="D99" s="11"/>
      <c r="E99" s="76"/>
      <c r="F99" s="76"/>
      <c r="G99" s="55"/>
      <c r="H99" s="3"/>
      <c r="I99" s="44"/>
    </row>
    <row r="100" spans="1:11" x14ac:dyDescent="0.25">
      <c r="A100" s="116" t="s">
        <v>2</v>
      </c>
      <c r="B100" s="117">
        <f t="shared" ref="B100:G100" si="19">((((B14)+(B56))+(B66))+(B72))+(B98)</f>
        <v>153005.86000000002</v>
      </c>
      <c r="C100" s="117">
        <f t="shared" si="19"/>
        <v>164697.12</v>
      </c>
      <c r="D100" s="117">
        <f t="shared" si="19"/>
        <v>142635.51999999999</v>
      </c>
      <c r="E100" s="117">
        <f t="shared" si="19"/>
        <v>153494.59000000003</v>
      </c>
      <c r="F100" s="117">
        <f t="shared" si="19"/>
        <v>179999.40133333334</v>
      </c>
      <c r="G100" s="118">
        <f t="shared" si="19"/>
        <v>256764.55</v>
      </c>
      <c r="H100" s="116" t="s">
        <v>2</v>
      </c>
      <c r="I100" s="119">
        <f>I14+I56+I98+I72+I66</f>
        <v>220190.91320000001</v>
      </c>
    </row>
    <row r="101" spans="1:11" x14ac:dyDescent="0.25">
      <c r="A101" s="3" t="s">
        <v>3</v>
      </c>
      <c r="B101" s="37">
        <f>(B100)-(0)</f>
        <v>153005.86000000002</v>
      </c>
      <c r="C101" s="37">
        <f>(C100)-(0)</f>
        <v>164697.12</v>
      </c>
      <c r="D101" s="37">
        <f>(D100)-(0)</f>
        <v>142635.51999999999</v>
      </c>
      <c r="E101" s="85">
        <f>(E100)-(0)</f>
        <v>153494.59000000003</v>
      </c>
      <c r="F101" s="85">
        <f>(F100)-(0)</f>
        <v>179999.40133333334</v>
      </c>
      <c r="G101" s="67">
        <f t="shared" ref="G101" si="20">(G100)-(0)</f>
        <v>256764.55</v>
      </c>
      <c r="H101" s="3" t="s">
        <v>3</v>
      </c>
      <c r="I101" s="47">
        <f>(I100)-(0)</f>
        <v>220190.91320000001</v>
      </c>
    </row>
    <row r="102" spans="1:11" x14ac:dyDescent="0.25">
      <c r="A102" s="3"/>
      <c r="B102" s="11"/>
      <c r="C102" s="11"/>
      <c r="D102" s="11"/>
      <c r="E102" s="76"/>
      <c r="F102" s="76"/>
      <c r="G102" s="55"/>
      <c r="H102" s="3"/>
      <c r="I102" s="44"/>
    </row>
    <row r="103" spans="1:11" x14ac:dyDescent="0.25">
      <c r="A103" s="3" t="s">
        <v>4</v>
      </c>
      <c r="B103" s="11"/>
      <c r="C103" s="11"/>
      <c r="D103" s="11"/>
      <c r="E103" s="76"/>
      <c r="F103" s="76"/>
      <c r="G103" s="55"/>
      <c r="H103" s="3" t="s">
        <v>4</v>
      </c>
      <c r="I103" s="44"/>
    </row>
    <row r="104" spans="1:11" x14ac:dyDescent="0.25">
      <c r="A104" s="5" t="s">
        <v>51</v>
      </c>
      <c r="B104" s="11">
        <v>105</v>
      </c>
      <c r="C104" s="11">
        <v>420.49</v>
      </c>
      <c r="D104" s="11">
        <v>4974.3999999999996</v>
      </c>
      <c r="E104" s="76">
        <v>236</v>
      </c>
      <c r="F104" s="76">
        <f>E104/10*12</f>
        <v>283.20000000000005</v>
      </c>
      <c r="G104" s="55">
        <v>4200</v>
      </c>
      <c r="H104" s="5" t="s">
        <v>51</v>
      </c>
      <c r="I104" s="44">
        <f>F104</f>
        <v>283.20000000000005</v>
      </c>
    </row>
    <row r="105" spans="1:11" x14ac:dyDescent="0.25">
      <c r="A105" s="5" t="s">
        <v>52</v>
      </c>
      <c r="B105" s="11">
        <v>15124.75</v>
      </c>
      <c r="C105" s="11">
        <v>13500</v>
      </c>
      <c r="D105" s="11">
        <v>14537.5</v>
      </c>
      <c r="E105" s="76">
        <v>11750</v>
      </c>
      <c r="F105" s="76">
        <f t="shared" ref="F105:F121" si="21">E105/10*12</f>
        <v>14100</v>
      </c>
      <c r="G105" s="55">
        <v>14400</v>
      </c>
      <c r="H105" s="5" t="s">
        <v>52</v>
      </c>
      <c r="I105" s="44">
        <f t="shared" ref="I105:I131" si="22">F105</f>
        <v>14100</v>
      </c>
    </row>
    <row r="106" spans="1:11" x14ac:dyDescent="0.25">
      <c r="A106" s="5" t="s">
        <v>81</v>
      </c>
      <c r="B106" s="11">
        <v>49500</v>
      </c>
      <c r="C106" s="11">
        <v>1114.5</v>
      </c>
      <c r="D106" s="11">
        <v>725</v>
      </c>
      <c r="E106" s="76">
        <v>0</v>
      </c>
      <c r="F106" s="76">
        <f t="shared" si="21"/>
        <v>0</v>
      </c>
      <c r="G106" s="55">
        <v>0</v>
      </c>
      <c r="H106" s="5" t="s">
        <v>81</v>
      </c>
      <c r="I106" s="44">
        <f t="shared" si="22"/>
        <v>0</v>
      </c>
    </row>
    <row r="107" spans="1:11" x14ac:dyDescent="0.25">
      <c r="A107" s="5" t="s">
        <v>53</v>
      </c>
      <c r="B107" s="11">
        <v>0</v>
      </c>
      <c r="C107" s="11">
        <v>75</v>
      </c>
      <c r="D107" s="11">
        <v>418.14</v>
      </c>
      <c r="E107" s="76">
        <v>450</v>
      </c>
      <c r="F107" s="76">
        <f t="shared" si="21"/>
        <v>540</v>
      </c>
      <c r="G107" s="55">
        <v>0</v>
      </c>
      <c r="H107" s="5" t="s">
        <v>53</v>
      </c>
      <c r="I107" s="44">
        <f t="shared" si="22"/>
        <v>540</v>
      </c>
    </row>
    <row r="108" spans="1:11" ht="17.100000000000001" customHeight="1" x14ac:dyDescent="0.25">
      <c r="A108" s="5" t="s">
        <v>54</v>
      </c>
      <c r="B108" s="11">
        <v>2441.15</v>
      </c>
      <c r="C108" s="11">
        <v>3202.53</v>
      </c>
      <c r="D108" s="11">
        <v>2411.64</v>
      </c>
      <c r="E108" s="76">
        <v>2890.99</v>
      </c>
      <c r="F108" s="76">
        <f t="shared" si="21"/>
        <v>3469.1880000000001</v>
      </c>
      <c r="G108" s="55">
        <v>4433</v>
      </c>
      <c r="H108" s="5" t="s">
        <v>54</v>
      </c>
      <c r="I108" s="44">
        <f>F108*1.2</f>
        <v>4163.0255999999999</v>
      </c>
      <c r="J108" s="89" t="s">
        <v>144</v>
      </c>
    </row>
    <row r="109" spans="1:11" x14ac:dyDescent="0.25">
      <c r="A109" s="5" t="s">
        <v>55</v>
      </c>
      <c r="B109" s="11">
        <v>1611.6</v>
      </c>
      <c r="C109" s="11">
        <v>2333.9699999999998</v>
      </c>
      <c r="D109" s="11">
        <v>2981.82</v>
      </c>
      <c r="E109" s="76">
        <v>3162.92</v>
      </c>
      <c r="F109" s="76">
        <f t="shared" si="21"/>
        <v>3795.5040000000004</v>
      </c>
      <c r="G109" s="55">
        <v>3000</v>
      </c>
      <c r="H109" s="5" t="s">
        <v>55</v>
      </c>
      <c r="I109" s="44">
        <v>2500</v>
      </c>
      <c r="J109" t="s">
        <v>145</v>
      </c>
    </row>
    <row r="110" spans="1:11" x14ac:dyDescent="0.25">
      <c r="A110" s="5" t="s">
        <v>56</v>
      </c>
      <c r="B110" s="11">
        <v>2140.1999999999998</v>
      </c>
      <c r="C110" s="11">
        <v>2267.8000000000002</v>
      </c>
      <c r="D110" s="11">
        <v>1973</v>
      </c>
      <c r="E110" s="76">
        <v>1472.76</v>
      </c>
      <c r="F110" s="76">
        <f t="shared" si="21"/>
        <v>1767.3120000000001</v>
      </c>
      <c r="G110" s="55">
        <v>2000</v>
      </c>
      <c r="H110" s="5" t="s">
        <v>56</v>
      </c>
      <c r="I110" s="44">
        <f t="shared" si="22"/>
        <v>1767.3120000000001</v>
      </c>
      <c r="K110" t="s">
        <v>165</v>
      </c>
    </row>
    <row r="111" spans="1:11" x14ac:dyDescent="0.25">
      <c r="A111" s="5" t="s">
        <v>129</v>
      </c>
      <c r="B111" s="11"/>
      <c r="C111" s="11"/>
      <c r="D111" s="11">
        <v>358.59</v>
      </c>
      <c r="E111" s="76">
        <v>504.2</v>
      </c>
      <c r="F111" s="76">
        <f t="shared" si="21"/>
        <v>605.04</v>
      </c>
      <c r="G111" s="55"/>
      <c r="H111" s="5"/>
      <c r="I111" s="44">
        <f t="shared" si="22"/>
        <v>605.04</v>
      </c>
      <c r="K111" t="s">
        <v>166</v>
      </c>
    </row>
    <row r="112" spans="1:11" x14ac:dyDescent="0.25">
      <c r="A112" s="5" t="s">
        <v>57</v>
      </c>
      <c r="B112" s="11">
        <f>405.73+64.61</f>
        <v>470.34000000000003</v>
      </c>
      <c r="C112" s="11">
        <v>956.63</v>
      </c>
      <c r="D112" s="11">
        <v>540</v>
      </c>
      <c r="E112" s="76">
        <v>283.18</v>
      </c>
      <c r="F112" s="76">
        <f t="shared" si="21"/>
        <v>339.81600000000003</v>
      </c>
      <c r="G112" s="55">
        <v>600</v>
      </c>
      <c r="H112" s="5" t="s">
        <v>57</v>
      </c>
      <c r="I112" s="44">
        <f t="shared" si="22"/>
        <v>339.81600000000003</v>
      </c>
    </row>
    <row r="113" spans="1:12" x14ac:dyDescent="0.25">
      <c r="A113" s="5" t="s">
        <v>58</v>
      </c>
      <c r="B113" s="11">
        <v>430.56</v>
      </c>
      <c r="C113" s="11">
        <v>1816.59</v>
      </c>
      <c r="D113" s="11">
        <v>1839.94</v>
      </c>
      <c r="E113" s="76">
        <v>964.34</v>
      </c>
      <c r="F113" s="76">
        <f t="shared" si="21"/>
        <v>1157.2080000000001</v>
      </c>
      <c r="G113" s="55">
        <v>2100</v>
      </c>
      <c r="H113" s="5" t="s">
        <v>58</v>
      </c>
      <c r="I113" s="44">
        <f t="shared" si="22"/>
        <v>1157.2080000000001</v>
      </c>
    </row>
    <row r="114" spans="1:12" x14ac:dyDescent="0.25">
      <c r="A114" s="5" t="s">
        <v>83</v>
      </c>
      <c r="B114" s="11">
        <v>450.64</v>
      </c>
      <c r="C114" s="11">
        <v>478.4</v>
      </c>
      <c r="D114" s="11">
        <v>453.29</v>
      </c>
      <c r="E114" s="76">
        <v>54.64</v>
      </c>
      <c r="F114" s="76">
        <f t="shared" si="21"/>
        <v>65.568000000000012</v>
      </c>
      <c r="G114" s="55">
        <v>0</v>
      </c>
      <c r="H114" s="5" t="s">
        <v>83</v>
      </c>
      <c r="I114" s="44">
        <f t="shared" si="22"/>
        <v>65.568000000000012</v>
      </c>
    </row>
    <row r="115" spans="1:12" x14ac:dyDescent="0.25">
      <c r="A115" s="5" t="s">
        <v>59</v>
      </c>
      <c r="B115" s="11">
        <f>576.33+30</f>
        <v>606.33000000000004</v>
      </c>
      <c r="C115" s="11">
        <v>2574.5</v>
      </c>
      <c r="D115" s="11">
        <v>3719.67</v>
      </c>
      <c r="E115" s="76">
        <v>709.13</v>
      </c>
      <c r="F115" s="76">
        <f t="shared" si="21"/>
        <v>850.9559999999999</v>
      </c>
      <c r="G115" s="55">
        <v>3535.43</v>
      </c>
      <c r="H115" s="5" t="s">
        <v>59</v>
      </c>
      <c r="I115" s="44">
        <f t="shared" si="22"/>
        <v>850.9559999999999</v>
      </c>
    </row>
    <row r="116" spans="1:12" x14ac:dyDescent="0.25">
      <c r="A116" s="5" t="s">
        <v>60</v>
      </c>
      <c r="B116" s="11">
        <v>926.21</v>
      </c>
      <c r="C116" s="11">
        <v>1186.45</v>
      </c>
      <c r="D116" s="11">
        <v>1233.75</v>
      </c>
      <c r="E116" s="76">
        <v>1184.51</v>
      </c>
      <c r="F116" s="76">
        <f t="shared" si="21"/>
        <v>1421.4119999999998</v>
      </c>
      <c r="G116" s="55">
        <v>1219.75</v>
      </c>
      <c r="H116" s="5" t="s">
        <v>60</v>
      </c>
      <c r="I116" s="90">
        <v>1400</v>
      </c>
      <c r="J116" t="s">
        <v>161</v>
      </c>
    </row>
    <row r="117" spans="1:12" x14ac:dyDescent="0.25">
      <c r="A117" s="5" t="s">
        <v>61</v>
      </c>
      <c r="B117" s="11">
        <v>3930.86</v>
      </c>
      <c r="C117" s="11">
        <v>7658.49</v>
      </c>
      <c r="D117" s="11">
        <v>8522.77</v>
      </c>
      <c r="E117" s="76">
        <v>7317.56</v>
      </c>
      <c r="F117" s="76">
        <f t="shared" si="21"/>
        <v>8781.0720000000001</v>
      </c>
      <c r="G117" s="55">
        <v>11365.2</v>
      </c>
      <c r="H117" s="5" t="s">
        <v>61</v>
      </c>
      <c r="I117" s="90">
        <f>((I128+I129)*0.0765)+1500</f>
        <v>13127.99388</v>
      </c>
      <c r="J117" t="s">
        <v>162</v>
      </c>
    </row>
    <row r="118" spans="1:12" x14ac:dyDescent="0.25">
      <c r="A118" s="5" t="s">
        <v>62</v>
      </c>
      <c r="B118" s="11">
        <v>340.06</v>
      </c>
      <c r="C118" s="11">
        <v>1190.51</v>
      </c>
      <c r="D118" s="11">
        <v>793.96</v>
      </c>
      <c r="E118" s="76">
        <v>1076.24</v>
      </c>
      <c r="F118" s="76">
        <f t="shared" si="21"/>
        <v>1291.4879999999998</v>
      </c>
      <c r="G118" s="55">
        <v>1302.67</v>
      </c>
      <c r="H118" s="5" t="s">
        <v>62</v>
      </c>
      <c r="I118" s="44">
        <f t="shared" si="22"/>
        <v>1291.4879999999998</v>
      </c>
    </row>
    <row r="119" spans="1:12" x14ac:dyDescent="0.25">
      <c r="A119" s="5" t="s">
        <v>82</v>
      </c>
      <c r="B119" s="11">
        <v>9317.52</v>
      </c>
      <c r="C119" s="11">
        <v>9317.52</v>
      </c>
      <c r="D119" s="11">
        <v>9317.52</v>
      </c>
      <c r="E119" s="76">
        <v>7764.6</v>
      </c>
      <c r="F119" s="76">
        <f t="shared" si="21"/>
        <v>9317.52</v>
      </c>
      <c r="G119" s="55">
        <v>9317.52</v>
      </c>
      <c r="H119" s="5" t="s">
        <v>82</v>
      </c>
      <c r="I119" s="44">
        <f t="shared" si="22"/>
        <v>9317.52</v>
      </c>
    </row>
    <row r="120" spans="1:12" x14ac:dyDescent="0.25">
      <c r="A120" s="5" t="s">
        <v>122</v>
      </c>
      <c r="B120" s="11"/>
      <c r="C120" s="11"/>
      <c r="D120" s="11">
        <v>433.65</v>
      </c>
      <c r="E120" s="76">
        <v>0</v>
      </c>
      <c r="F120" s="76">
        <f t="shared" si="21"/>
        <v>0</v>
      </c>
      <c r="G120" s="55">
        <v>433.65</v>
      </c>
      <c r="H120" s="5"/>
      <c r="I120" s="44">
        <f t="shared" si="22"/>
        <v>0</v>
      </c>
    </row>
    <row r="121" spans="1:12" ht="15.6" customHeight="1" x14ac:dyDescent="0.25">
      <c r="A121" s="5" t="s">
        <v>63</v>
      </c>
      <c r="B121" s="11">
        <v>800</v>
      </c>
      <c r="C121" s="11">
        <v>2445</v>
      </c>
      <c r="D121" s="11">
        <v>1380</v>
      </c>
      <c r="E121" s="76">
        <v>1610</v>
      </c>
      <c r="F121" s="76">
        <f t="shared" si="21"/>
        <v>1932</v>
      </c>
      <c r="G121" s="55">
        <v>2530</v>
      </c>
      <c r="H121" s="5" t="s">
        <v>63</v>
      </c>
      <c r="I121" s="90">
        <v>4260</v>
      </c>
      <c r="J121" t="s">
        <v>163</v>
      </c>
      <c r="K121" t="s">
        <v>164</v>
      </c>
      <c r="L121" s="2">
        <f>(((I128/12)*10)*0.03)</f>
        <v>1500</v>
      </c>
    </row>
    <row r="122" spans="1:12" x14ac:dyDescent="0.25">
      <c r="A122" s="5" t="s">
        <v>64</v>
      </c>
      <c r="B122" s="11"/>
      <c r="C122" s="11"/>
      <c r="D122" s="11"/>
      <c r="E122" s="76"/>
      <c r="F122" s="76"/>
      <c r="G122" s="55"/>
      <c r="H122" s="5" t="s">
        <v>64</v>
      </c>
      <c r="I122" s="44">
        <f t="shared" si="22"/>
        <v>0</v>
      </c>
      <c r="L122" s="2">
        <f>I129*0.03</f>
        <v>2759.9976000000001</v>
      </c>
    </row>
    <row r="123" spans="1:12" x14ac:dyDescent="0.25">
      <c r="A123" s="23" t="s">
        <v>87</v>
      </c>
      <c r="B123" s="11">
        <v>5743.02</v>
      </c>
      <c r="C123" s="11">
        <v>8210.42</v>
      </c>
      <c r="D123" s="11">
        <v>11488.88</v>
      </c>
      <c r="E123" s="76">
        <v>10078.25</v>
      </c>
      <c r="F123" s="76">
        <f>E123/10*12</f>
        <v>12093.900000000001</v>
      </c>
      <c r="G123" s="55">
        <v>12000</v>
      </c>
      <c r="H123" s="23" t="s">
        <v>87</v>
      </c>
      <c r="I123" s="44">
        <f>F123</f>
        <v>12093.900000000001</v>
      </c>
      <c r="L123" s="2">
        <f>L121+L122</f>
        <v>4259.9976000000006</v>
      </c>
    </row>
    <row r="124" spans="1:12" x14ac:dyDescent="0.25">
      <c r="A124" s="23" t="s">
        <v>88</v>
      </c>
      <c r="B124" s="11">
        <v>3555.76</v>
      </c>
      <c r="C124" s="11">
        <v>3239.99</v>
      </c>
      <c r="D124" s="11">
        <v>3334.43</v>
      </c>
      <c r="E124" s="76">
        <v>2543.16</v>
      </c>
      <c r="F124" s="76">
        <f t="shared" ref="F124:F131" si="23">E124/10*12</f>
        <v>3051.7919999999995</v>
      </c>
      <c r="G124" s="55">
        <v>3000</v>
      </c>
      <c r="H124" s="23" t="s">
        <v>88</v>
      </c>
      <c r="I124" s="44">
        <f>F124</f>
        <v>3051.7919999999995</v>
      </c>
    </row>
    <row r="125" spans="1:12" x14ac:dyDescent="0.25">
      <c r="A125" s="23" t="s">
        <v>89</v>
      </c>
      <c r="B125" s="11">
        <v>3035.82</v>
      </c>
      <c r="C125" s="11">
        <v>3371.18</v>
      </c>
      <c r="D125" s="11">
        <v>3576.66</v>
      </c>
      <c r="E125" s="76">
        <v>2870.79</v>
      </c>
      <c r="F125" s="76">
        <f t="shared" si="23"/>
        <v>3444.9480000000003</v>
      </c>
      <c r="G125" s="55">
        <v>3600</v>
      </c>
      <c r="H125" s="23" t="s">
        <v>89</v>
      </c>
      <c r="I125" s="44">
        <f t="shared" si="22"/>
        <v>3444.9480000000003</v>
      </c>
    </row>
    <row r="126" spans="1:12" x14ac:dyDescent="0.25">
      <c r="A126" s="23" t="s">
        <v>90</v>
      </c>
      <c r="B126" s="11">
        <v>2529.21</v>
      </c>
      <c r="C126" s="11">
        <v>685</v>
      </c>
      <c r="D126" s="11">
        <v>1117</v>
      </c>
      <c r="E126" s="76">
        <v>425</v>
      </c>
      <c r="F126" s="76">
        <f t="shared" si="23"/>
        <v>510</v>
      </c>
      <c r="G126" s="55">
        <v>1200</v>
      </c>
      <c r="H126" s="23" t="s">
        <v>90</v>
      </c>
      <c r="I126" s="44">
        <f t="shared" si="22"/>
        <v>510</v>
      </c>
    </row>
    <row r="127" spans="1:12" x14ac:dyDescent="0.25">
      <c r="A127" s="5" t="s">
        <v>65</v>
      </c>
      <c r="B127" s="11">
        <v>1778.82</v>
      </c>
      <c r="C127" s="11">
        <v>1545.72</v>
      </c>
      <c r="D127" s="11">
        <v>971.33</v>
      </c>
      <c r="E127" s="76">
        <v>1083.5999999999999</v>
      </c>
      <c r="F127" s="76">
        <f t="shared" si="23"/>
        <v>1300.3199999999997</v>
      </c>
      <c r="G127" s="55">
        <v>900</v>
      </c>
      <c r="H127" s="5" t="s">
        <v>65</v>
      </c>
      <c r="I127" s="44">
        <f t="shared" si="22"/>
        <v>1300.3199999999997</v>
      </c>
      <c r="K127" s="2"/>
    </row>
    <row r="128" spans="1:12" x14ac:dyDescent="0.25">
      <c r="A128" s="5" t="s">
        <v>96</v>
      </c>
      <c r="B128" s="11">
        <v>0</v>
      </c>
      <c r="C128" s="11">
        <v>15713.86</v>
      </c>
      <c r="D128" s="11">
        <v>16645</v>
      </c>
      <c r="E128" s="76">
        <v>17440</v>
      </c>
      <c r="F128" s="76">
        <f t="shared" si="23"/>
        <v>20928</v>
      </c>
      <c r="G128" s="55">
        <v>15600</v>
      </c>
      <c r="H128" s="5" t="s">
        <v>84</v>
      </c>
      <c r="I128" s="44">
        <v>60000</v>
      </c>
      <c r="J128" t="s">
        <v>146</v>
      </c>
    </row>
    <row r="129" spans="1:9" x14ac:dyDescent="0.25">
      <c r="A129" s="5" t="s">
        <v>107</v>
      </c>
      <c r="B129" s="11">
        <v>49595.28</v>
      </c>
      <c r="C129" s="11">
        <v>82166.59</v>
      </c>
      <c r="D129" s="11">
        <v>91999.92</v>
      </c>
      <c r="E129" s="76">
        <v>76666.600000000006</v>
      </c>
      <c r="F129" s="76">
        <f t="shared" si="23"/>
        <v>91999.920000000013</v>
      </c>
      <c r="G129" s="55">
        <v>91999.92</v>
      </c>
      <c r="H129" s="5" t="s">
        <v>107</v>
      </c>
      <c r="I129" s="44">
        <f t="shared" si="22"/>
        <v>91999.920000000013</v>
      </c>
    </row>
    <row r="130" spans="1:9" x14ac:dyDescent="0.25">
      <c r="A130" s="5" t="s">
        <v>138</v>
      </c>
      <c r="B130" s="11"/>
      <c r="C130" s="11"/>
      <c r="D130" s="11"/>
      <c r="E130" s="76">
        <v>0</v>
      </c>
      <c r="F130" s="76">
        <f t="shared" si="23"/>
        <v>0</v>
      </c>
      <c r="G130" s="55">
        <v>39999.96</v>
      </c>
      <c r="H130" s="5" t="s">
        <v>85</v>
      </c>
      <c r="I130" s="44">
        <f t="shared" si="22"/>
        <v>0</v>
      </c>
    </row>
    <row r="131" spans="1:9" x14ac:dyDescent="0.25">
      <c r="A131" s="5" t="s">
        <v>66</v>
      </c>
      <c r="B131" s="12"/>
      <c r="C131" s="12"/>
      <c r="D131" s="12">
        <v>1611.86</v>
      </c>
      <c r="E131" s="77">
        <v>1519.8</v>
      </c>
      <c r="F131" s="77">
        <f t="shared" si="23"/>
        <v>1823.7599999999998</v>
      </c>
      <c r="G131" s="60">
        <v>1800</v>
      </c>
      <c r="H131" s="5" t="s">
        <v>66</v>
      </c>
      <c r="I131" s="44">
        <f t="shared" si="22"/>
        <v>1823.7599999999998</v>
      </c>
    </row>
    <row r="132" spans="1:9" x14ac:dyDescent="0.25">
      <c r="A132" s="105" t="s">
        <v>5</v>
      </c>
      <c r="B132" s="106">
        <f t="shared" ref="B132:G132" si="24">SUM(B104:B131)</f>
        <v>154433.13</v>
      </c>
      <c r="C132" s="106">
        <f t="shared" si="24"/>
        <v>165471.14000000001</v>
      </c>
      <c r="D132" s="106">
        <f t="shared" si="24"/>
        <v>187359.71999999997</v>
      </c>
      <c r="E132" s="106">
        <f t="shared" si="24"/>
        <v>154058.26999999999</v>
      </c>
      <c r="F132" s="106">
        <f t="shared" si="24"/>
        <v>184869.92400000003</v>
      </c>
      <c r="G132" s="107">
        <f t="shared" si="24"/>
        <v>230537.1</v>
      </c>
      <c r="H132" s="105" t="s">
        <v>5</v>
      </c>
      <c r="I132" s="108">
        <f>SUM(I104:I131)</f>
        <v>229993.76748000001</v>
      </c>
    </row>
    <row r="133" spans="1:9" x14ac:dyDescent="0.25">
      <c r="A133" s="3" t="s">
        <v>6</v>
      </c>
      <c r="B133" s="38">
        <f t="shared" ref="B133:G133" si="25">(B101)-(B132)</f>
        <v>-1427.2699999999895</v>
      </c>
      <c r="C133" s="38">
        <f t="shared" si="25"/>
        <v>-774.02000000001863</v>
      </c>
      <c r="D133" s="38">
        <f t="shared" si="25"/>
        <v>-44724.199999999983</v>
      </c>
      <c r="E133" s="88">
        <f t="shared" si="25"/>
        <v>-563.67999999996391</v>
      </c>
      <c r="F133" s="86">
        <f t="shared" si="25"/>
        <v>-4870.5226666666858</v>
      </c>
      <c r="G133" s="68">
        <f t="shared" si="25"/>
        <v>26227.449999999983</v>
      </c>
      <c r="H133" s="3" t="s">
        <v>6</v>
      </c>
      <c r="I133" s="49">
        <f>(I101)-(I132)</f>
        <v>-9802.8542799999996</v>
      </c>
    </row>
    <row r="134" spans="1:9" x14ac:dyDescent="0.25">
      <c r="A134" s="3"/>
      <c r="B134" s="11"/>
      <c r="C134" s="11"/>
      <c r="D134" s="11"/>
      <c r="E134" s="76"/>
      <c r="F134" s="76"/>
      <c r="G134" s="55"/>
      <c r="H134" s="3"/>
      <c r="I134" s="44"/>
    </row>
    <row r="135" spans="1:9" x14ac:dyDescent="0.25">
      <c r="A135" s="3" t="s">
        <v>7</v>
      </c>
      <c r="B135" s="11"/>
      <c r="C135" s="11"/>
      <c r="D135" s="11"/>
      <c r="E135" s="76"/>
      <c r="F135" s="76"/>
      <c r="G135" s="55"/>
      <c r="H135" s="3" t="s">
        <v>7</v>
      </c>
      <c r="I135" s="44"/>
    </row>
    <row r="136" spans="1:9" x14ac:dyDescent="0.25">
      <c r="A136" s="5" t="s">
        <v>93</v>
      </c>
      <c r="B136" s="11">
        <v>17856</v>
      </c>
      <c r="C136" s="11"/>
      <c r="D136" s="11"/>
      <c r="E136" s="76">
        <v>2500</v>
      </c>
      <c r="F136" s="76"/>
      <c r="G136" s="55"/>
      <c r="H136" s="5" t="s">
        <v>67</v>
      </c>
      <c r="I136" s="44"/>
    </row>
    <row r="137" spans="1:9" x14ac:dyDescent="0.25">
      <c r="A137" s="5" t="s">
        <v>91</v>
      </c>
      <c r="B137" s="11">
        <v>1570</v>
      </c>
      <c r="C137" s="11"/>
      <c r="D137" s="11"/>
      <c r="E137" s="76">
        <v>0</v>
      </c>
      <c r="F137" s="76"/>
      <c r="G137" s="55"/>
      <c r="H137" s="5" t="s">
        <v>91</v>
      </c>
      <c r="I137" s="44"/>
    </row>
    <row r="138" spans="1:9" x14ac:dyDescent="0.25">
      <c r="A138" s="5" t="s">
        <v>92</v>
      </c>
      <c r="B138" s="11">
        <v>-1570</v>
      </c>
      <c r="C138" s="11"/>
      <c r="D138" s="11"/>
      <c r="E138" s="76">
        <v>0</v>
      </c>
      <c r="F138" s="76"/>
      <c r="G138" s="55"/>
      <c r="H138" s="5" t="s">
        <v>92</v>
      </c>
      <c r="I138" s="44"/>
    </row>
    <row r="139" spans="1:9" x14ac:dyDescent="0.25">
      <c r="A139" s="5" t="s">
        <v>93</v>
      </c>
      <c r="B139" s="11"/>
      <c r="C139" s="11"/>
      <c r="D139" s="11"/>
      <c r="E139" s="76"/>
      <c r="F139" s="76"/>
      <c r="G139" s="55"/>
      <c r="H139" s="5" t="s">
        <v>93</v>
      </c>
      <c r="I139" s="44"/>
    </row>
    <row r="140" spans="1:9" x14ac:dyDescent="0.25">
      <c r="A140" s="5" t="s">
        <v>68</v>
      </c>
      <c r="B140" s="11">
        <v>171.45</v>
      </c>
      <c r="C140" s="11">
        <v>113.04</v>
      </c>
      <c r="D140" s="11">
        <v>114.65</v>
      </c>
      <c r="E140" s="76">
        <v>70.52</v>
      </c>
      <c r="F140" s="76"/>
      <c r="G140" s="55"/>
      <c r="H140" s="5" t="s">
        <v>68</v>
      </c>
      <c r="I140" s="44"/>
    </row>
    <row r="141" spans="1:9" x14ac:dyDescent="0.25">
      <c r="A141" s="5" t="s">
        <v>86</v>
      </c>
      <c r="B141" s="11">
        <v>11637.09</v>
      </c>
      <c r="C141" s="11">
        <v>10630</v>
      </c>
      <c r="D141" s="11">
        <v>6120</v>
      </c>
      <c r="E141" s="76">
        <v>9270</v>
      </c>
      <c r="F141" s="76"/>
      <c r="G141" s="55"/>
      <c r="H141" s="5" t="s">
        <v>86</v>
      </c>
      <c r="I141" s="44"/>
    </row>
    <row r="142" spans="1:9" x14ac:dyDescent="0.25">
      <c r="A142" s="5" t="s">
        <v>95</v>
      </c>
      <c r="B142" s="11">
        <v>1857.61</v>
      </c>
      <c r="C142" s="11">
        <v>-385</v>
      </c>
      <c r="D142" s="11">
        <v>-1200</v>
      </c>
      <c r="E142" s="76">
        <v>-7820.95</v>
      </c>
      <c r="F142" s="76"/>
      <c r="G142" s="55"/>
      <c r="H142" s="5" t="s">
        <v>95</v>
      </c>
      <c r="I142" s="44"/>
    </row>
    <row r="143" spans="1:9" x14ac:dyDescent="0.25">
      <c r="A143" s="5" t="s">
        <v>69</v>
      </c>
      <c r="B143" s="12">
        <v>1764.18</v>
      </c>
      <c r="C143" s="12">
        <v>1281.49</v>
      </c>
      <c r="D143" s="12">
        <v>2237.17</v>
      </c>
      <c r="E143" s="77">
        <v>2774.38</v>
      </c>
      <c r="F143" s="78"/>
      <c r="G143" s="55"/>
      <c r="H143" s="5" t="s">
        <v>69</v>
      </c>
      <c r="I143" s="44"/>
    </row>
    <row r="144" spans="1:9" x14ac:dyDescent="0.25">
      <c r="A144" s="6" t="s">
        <v>8</v>
      </c>
      <c r="B144" s="33">
        <f t="shared" ref="B144:G144" si="26">SUM(B136:B143)</f>
        <v>33286.33</v>
      </c>
      <c r="C144" s="33">
        <f t="shared" si="26"/>
        <v>11639.53</v>
      </c>
      <c r="D144" s="33">
        <f t="shared" si="26"/>
        <v>7271.82</v>
      </c>
      <c r="E144" s="82">
        <f t="shared" si="26"/>
        <v>6793.9500000000007</v>
      </c>
      <c r="F144" s="79">
        <f t="shared" si="26"/>
        <v>0</v>
      </c>
      <c r="G144" s="66">
        <f t="shared" si="26"/>
        <v>0</v>
      </c>
      <c r="H144" s="6" t="s">
        <v>8</v>
      </c>
      <c r="I144" s="48">
        <f>SUM(I136:I143)</f>
        <v>0</v>
      </c>
    </row>
    <row r="145" spans="1:9" x14ac:dyDescent="0.25">
      <c r="A145" s="3"/>
      <c r="B145" s="15"/>
      <c r="C145" s="15"/>
      <c r="D145" s="15"/>
      <c r="E145" s="79"/>
      <c r="F145" s="76"/>
      <c r="G145" s="55"/>
      <c r="H145" s="3"/>
      <c r="I145" s="41"/>
    </row>
    <row r="146" spans="1:9" ht="15.75" thickBot="1" x14ac:dyDescent="0.3">
      <c r="A146" s="7" t="s">
        <v>70</v>
      </c>
      <c r="B146" s="37">
        <f>(B133)+(B144)</f>
        <v>31859.060000000012</v>
      </c>
      <c r="C146" s="37">
        <f>(C133)+(C144)</f>
        <v>10865.509999999982</v>
      </c>
      <c r="D146" s="38">
        <f>(D133)+(D144)</f>
        <v>-37452.379999999983</v>
      </c>
      <c r="E146" s="88">
        <f>(E133)+(E144)</f>
        <v>6230.2700000000368</v>
      </c>
      <c r="F146" s="86">
        <f>(F133)+(F144)</f>
        <v>-4870.5226666666858</v>
      </c>
      <c r="G146" s="69">
        <f t="shared" ref="G146" si="27">(G133)+(G144)</f>
        <v>26227.449999999983</v>
      </c>
      <c r="H146" s="3" t="s">
        <v>70</v>
      </c>
      <c r="I146" s="50">
        <f>(I133)+(I144)</f>
        <v>-9802.8542799999996</v>
      </c>
    </row>
    <row r="147" spans="1:9" ht="15.75" thickTop="1" x14ac:dyDescent="0.25">
      <c r="A147" s="3"/>
      <c r="B147" s="3"/>
      <c r="C147" s="11"/>
      <c r="D147" s="11"/>
      <c r="E147" s="11"/>
      <c r="F147" s="11"/>
      <c r="G147" s="22"/>
      <c r="H147"/>
    </row>
    <row r="148" spans="1:9" x14ac:dyDescent="0.25">
      <c r="A148" s="1"/>
      <c r="B148" s="1"/>
      <c r="C148" s="11"/>
      <c r="D148" s="11"/>
      <c r="E148" s="11"/>
      <c r="F148" s="11"/>
      <c r="G148" s="22"/>
      <c r="H148"/>
    </row>
    <row r="149" spans="1:9" x14ac:dyDescent="0.25">
      <c r="A149" s="18" t="s">
        <v>140</v>
      </c>
      <c r="B149" s="18"/>
      <c r="C149" s="11"/>
      <c r="D149" s="11"/>
      <c r="E149" s="11"/>
      <c r="F149" s="11"/>
      <c r="G149" s="22"/>
      <c r="H149"/>
    </row>
    <row r="150" spans="1:9" x14ac:dyDescent="0.25">
      <c r="A150" s="17" t="s">
        <v>141</v>
      </c>
      <c r="B150" s="17"/>
      <c r="C150" s="11"/>
      <c r="D150" s="11"/>
      <c r="E150" s="11"/>
      <c r="F150" s="11"/>
      <c r="G150" s="22"/>
      <c r="H150"/>
    </row>
    <row r="151" spans="1:9" x14ac:dyDescent="0.25">
      <c r="A151" s="17" t="s">
        <v>142</v>
      </c>
      <c r="B151" s="17"/>
      <c r="C151" s="11"/>
      <c r="D151" s="11"/>
      <c r="E151" s="11"/>
      <c r="F151" s="11"/>
      <c r="G151" s="22"/>
      <c r="H151"/>
    </row>
    <row r="152" spans="1:9" x14ac:dyDescent="0.25">
      <c r="A152" s="1"/>
      <c r="B152" s="1"/>
      <c r="C152" s="11"/>
      <c r="D152" s="11"/>
      <c r="E152" s="11"/>
      <c r="F152" s="11"/>
      <c r="G152" s="22"/>
      <c r="H152"/>
    </row>
    <row r="153" spans="1:9" x14ac:dyDescent="0.25">
      <c r="A153" s="1"/>
      <c r="B153" s="1"/>
      <c r="C153" s="11"/>
      <c r="D153" s="11"/>
      <c r="E153" s="11"/>
      <c r="F153" s="11"/>
      <c r="G153" s="22"/>
      <c r="H153"/>
    </row>
    <row r="154" spans="1:9" x14ac:dyDescent="0.25">
      <c r="A154" s="19"/>
      <c r="B154" s="19"/>
      <c r="C154" s="11"/>
      <c r="D154" s="11"/>
      <c r="E154" s="11"/>
      <c r="F154" s="11"/>
      <c r="G154" s="22"/>
      <c r="H154"/>
    </row>
    <row r="155" spans="1:9" ht="15.75" x14ac:dyDescent="0.25">
      <c r="A155" s="8"/>
      <c r="B155" s="8"/>
      <c r="C155" s="10"/>
      <c r="D155" s="10"/>
      <c r="E155" s="10"/>
      <c r="F155" s="10"/>
      <c r="G155" s="70"/>
      <c r="H155"/>
    </row>
    <row r="156" spans="1:9" ht="15.75" x14ac:dyDescent="0.25">
      <c r="A156" s="8"/>
      <c r="B156" s="8"/>
      <c r="C156" s="10"/>
      <c r="D156" s="10"/>
      <c r="E156" s="10"/>
      <c r="F156" s="10"/>
      <c r="G156" s="70"/>
      <c r="H156"/>
    </row>
    <row r="157" spans="1:9" ht="15.75" x14ac:dyDescent="0.25">
      <c r="A157" s="8"/>
      <c r="B157" s="8"/>
      <c r="C157" s="10"/>
      <c r="D157" s="10"/>
      <c r="E157" s="10"/>
      <c r="F157" s="10"/>
      <c r="G157" s="70"/>
      <c r="H157"/>
    </row>
    <row r="158" spans="1:9" ht="15.75" x14ac:dyDescent="0.25">
      <c r="A158" s="8"/>
      <c r="B158" s="8"/>
      <c r="C158" s="10"/>
      <c r="D158" s="10"/>
      <c r="E158" s="10"/>
      <c r="F158" s="10"/>
      <c r="G158" s="70"/>
      <c r="H158"/>
    </row>
    <row r="159" spans="1:9" ht="15.75" x14ac:dyDescent="0.25">
      <c r="A159" s="20"/>
      <c r="B159" s="20"/>
      <c r="C159" s="10"/>
      <c r="D159" s="10"/>
      <c r="E159" s="10"/>
      <c r="F159" s="10"/>
      <c r="G159" s="70"/>
      <c r="H159"/>
    </row>
    <row r="160" spans="1:9" ht="15.75" x14ac:dyDescent="0.25">
      <c r="A160" s="8"/>
      <c r="B160" s="8"/>
      <c r="H160"/>
    </row>
    <row r="161" spans="1:8" ht="15.75" x14ac:dyDescent="0.25">
      <c r="A161" s="8"/>
      <c r="B161" s="8"/>
      <c r="H161"/>
    </row>
    <row r="162" spans="1:8" ht="15.75" x14ac:dyDescent="0.25">
      <c r="A162" s="8"/>
      <c r="B162" s="8"/>
      <c r="H162"/>
    </row>
    <row r="163" spans="1:8" ht="15.75" x14ac:dyDescent="0.25">
      <c r="A163" s="8"/>
      <c r="B163" s="8"/>
      <c r="H163"/>
    </row>
    <row r="164" spans="1:8" ht="15.75" x14ac:dyDescent="0.25">
      <c r="A164" s="8"/>
      <c r="B164" s="8"/>
      <c r="H164"/>
    </row>
    <row r="165" spans="1:8" ht="15.75" x14ac:dyDescent="0.25">
      <c r="A165" s="8"/>
      <c r="B165" s="8"/>
      <c r="H165"/>
    </row>
    <row r="166" spans="1:8" ht="15.75" x14ac:dyDescent="0.25">
      <c r="A166" s="8"/>
      <c r="B166" s="8"/>
      <c r="H166"/>
    </row>
    <row r="167" spans="1:8" ht="15.75" x14ac:dyDescent="0.25">
      <c r="A167" s="8"/>
      <c r="B167" s="8"/>
      <c r="H167"/>
    </row>
    <row r="168" spans="1:8" ht="15.75" x14ac:dyDescent="0.25">
      <c r="A168" s="8"/>
      <c r="B168" s="8"/>
      <c r="H168"/>
    </row>
    <row r="169" spans="1:8" ht="15.75" x14ac:dyDescent="0.25">
      <c r="A169" s="8"/>
      <c r="B169" s="8"/>
      <c r="H169"/>
    </row>
    <row r="170" spans="1:8" ht="15.75" x14ac:dyDescent="0.25">
      <c r="A170" s="8"/>
      <c r="B170" s="8"/>
      <c r="H170" s="22"/>
    </row>
    <row r="171" spans="1:8" ht="15.75" x14ac:dyDescent="0.25">
      <c r="A171" s="8"/>
      <c r="B171" s="8"/>
      <c r="H171" s="22"/>
    </row>
    <row r="172" spans="1:8" ht="15.75" x14ac:dyDescent="0.25">
      <c r="A172" s="8"/>
      <c r="B172" s="8"/>
      <c r="H172" s="22"/>
    </row>
    <row r="173" spans="1:8" ht="15.75" x14ac:dyDescent="0.25">
      <c r="A173" s="8"/>
      <c r="B173" s="8"/>
      <c r="H173" s="22"/>
    </row>
    <row r="174" spans="1:8" ht="15.75" x14ac:dyDescent="0.25">
      <c r="A174" s="8"/>
      <c r="B174" s="8"/>
      <c r="H174" s="22"/>
    </row>
    <row r="175" spans="1:8" ht="15.75" x14ac:dyDescent="0.25">
      <c r="A175" s="8"/>
      <c r="B175" s="8"/>
      <c r="H175" s="22"/>
    </row>
    <row r="176" spans="1:8" ht="15.75" x14ac:dyDescent="0.25">
      <c r="A176" s="8"/>
      <c r="B176" s="8"/>
      <c r="H176" s="22"/>
    </row>
    <row r="177" spans="1:2" ht="15.75" x14ac:dyDescent="0.25">
      <c r="A177" s="8"/>
      <c r="B177" s="8"/>
    </row>
    <row r="178" spans="1:2" ht="15.75" x14ac:dyDescent="0.25">
      <c r="A178" s="8"/>
      <c r="B178" s="8"/>
    </row>
    <row r="179" spans="1:2" ht="15.75" x14ac:dyDescent="0.25">
      <c r="A179" s="8"/>
      <c r="B179" s="8"/>
    </row>
    <row r="180" spans="1:2" ht="15.75" x14ac:dyDescent="0.25">
      <c r="A180" s="8"/>
      <c r="B180" s="8"/>
    </row>
    <row r="181" spans="1:2" ht="15.75" x14ac:dyDescent="0.25">
      <c r="A181" s="8"/>
      <c r="B181" s="8"/>
    </row>
    <row r="182" spans="1:2" ht="15.75" x14ac:dyDescent="0.25">
      <c r="A182" s="8"/>
      <c r="B182" s="8"/>
    </row>
    <row r="183" spans="1:2" ht="15.75" x14ac:dyDescent="0.25">
      <c r="A183" s="8"/>
      <c r="B183" s="8"/>
    </row>
    <row r="184" spans="1:2" ht="15.75" x14ac:dyDescent="0.25">
      <c r="A184" s="8"/>
      <c r="B184" s="8"/>
    </row>
    <row r="185" spans="1:2" ht="15.75" x14ac:dyDescent="0.25">
      <c r="A185" s="8"/>
      <c r="B185" s="8"/>
    </row>
    <row r="186" spans="1:2" ht="15.75" x14ac:dyDescent="0.25">
      <c r="A186" s="8"/>
      <c r="B186" s="8"/>
    </row>
  </sheetData>
  <mergeCells count="4">
    <mergeCell ref="A1:I1"/>
    <mergeCell ref="A2:I2"/>
    <mergeCell ref="A3:I3"/>
    <mergeCell ref="I5:I6"/>
  </mergeCells>
  <printOptions gridLines="1"/>
  <pageMargins left="0.25" right="0.25" top="0.25" bottom="0.25" header="0.3" footer="0.3"/>
  <pageSetup scale="46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2025 Positive Budget</vt:lpstr>
      <vt:lpstr>Budget Assumptions Positive</vt:lpstr>
      <vt:lpstr>2025 Budget Worksheet Positive</vt:lpstr>
      <vt:lpstr>2025 Proposed Budget</vt:lpstr>
      <vt:lpstr>Budget Assumptions</vt:lpstr>
      <vt:lpstr>2025 Budget Worksheet </vt:lpstr>
      <vt:lpstr>'2025 Budget Worksheet '!Print_Titles</vt:lpstr>
      <vt:lpstr>'2025 Budget Worksheet Positive'!Print_Titles</vt:lpstr>
      <vt:lpstr>'2025 Positive Budget'!Print_Titles</vt:lpstr>
      <vt:lpstr>'2025 Proposed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Segal Rebecca - Fauquier</cp:lastModifiedBy>
  <cp:lastPrinted>2024-11-18T17:55:09Z</cp:lastPrinted>
  <dcterms:created xsi:type="dcterms:W3CDTF">2018-09-13T14:56:35Z</dcterms:created>
  <dcterms:modified xsi:type="dcterms:W3CDTF">2024-11-18T17:56:28Z</dcterms:modified>
</cp:coreProperties>
</file>