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sh\Documents\Chamber\2023 Financials\December 2023\"/>
    </mc:Choice>
  </mc:AlternateContent>
  <xr:revisionPtr revIDLastSave="0" documentId="13_ncr:1_{9DEFD279-7743-447A-91FC-618A767F86A5}" xr6:coauthVersionLast="47" xr6:coauthVersionMax="47" xr10:uidLastSave="{00000000-0000-0000-0000-000000000000}"/>
  <bookViews>
    <workbookView xWindow="-110" yWindow="-110" windowWidth="19420" windowHeight="10300" xr2:uid="{934DF634-37BF-4951-9126-BCACFFED15C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4" i="1" l="1"/>
  <c r="H37" i="1"/>
  <c r="F14" i="1"/>
  <c r="F37" i="1"/>
  <c r="F33" i="1"/>
  <c r="E37" i="1"/>
  <c r="J36" i="1"/>
  <c r="G36" i="1"/>
  <c r="H36" i="1" s="1"/>
  <c r="E33" i="1"/>
  <c r="J32" i="1"/>
  <c r="G32" i="1"/>
  <c r="H32" i="1" s="1"/>
  <c r="G26" i="1"/>
  <c r="H26" i="1" s="1"/>
  <c r="F21" i="1"/>
  <c r="J31" i="1"/>
  <c r="H31" i="1"/>
  <c r="G31" i="1"/>
  <c r="J30" i="1"/>
  <c r="G30" i="1"/>
  <c r="H30" i="1" s="1"/>
  <c r="J29" i="1"/>
  <c r="G29" i="1"/>
  <c r="H29" i="1" s="1"/>
  <c r="J28" i="1"/>
  <c r="G28" i="1"/>
  <c r="H28" i="1" s="1"/>
  <c r="J35" i="1"/>
  <c r="G35" i="1"/>
  <c r="H35" i="1" s="1"/>
  <c r="F22" i="1"/>
  <c r="G22" i="1" s="1"/>
  <c r="H22" i="1" s="1"/>
  <c r="G16" i="1"/>
  <c r="H16" i="1" s="1"/>
  <c r="F15" i="1"/>
  <c r="G15" i="1" s="1"/>
  <c r="H15" i="1" s="1"/>
  <c r="G14" i="1"/>
  <c r="H14" i="1" s="1"/>
  <c r="J27" i="1"/>
  <c r="G27" i="1"/>
  <c r="H27" i="1" s="1"/>
  <c r="J26" i="1"/>
  <c r="F12" i="1"/>
  <c r="G12" i="1" s="1"/>
  <c r="H12" i="1" s="1"/>
  <c r="J25" i="1"/>
  <c r="G25" i="1"/>
  <c r="H25" i="1" s="1"/>
  <c r="F13" i="1"/>
  <c r="G13" i="1" s="1"/>
  <c r="H13" i="1" s="1"/>
  <c r="F9" i="1"/>
  <c r="J24" i="1"/>
  <c r="G24" i="1"/>
  <c r="H24" i="1" s="1"/>
  <c r="J23" i="1"/>
  <c r="G23" i="1"/>
  <c r="H23" i="1" s="1"/>
  <c r="F10" i="1"/>
  <c r="G10" i="1" s="1"/>
  <c r="H10" i="1" s="1"/>
  <c r="J22" i="1"/>
  <c r="F11" i="1"/>
  <c r="J18" i="1"/>
  <c r="G18" i="1"/>
  <c r="H18" i="1" s="1"/>
  <c r="J17" i="1"/>
  <c r="G17" i="1"/>
  <c r="H17" i="1" s="1"/>
  <c r="J16" i="1"/>
  <c r="J15" i="1"/>
  <c r="I7" i="1"/>
  <c r="J14" i="1"/>
  <c r="I9" i="1"/>
  <c r="I8" i="1"/>
  <c r="F7" i="1"/>
  <c r="E46" i="1"/>
  <c r="J13" i="1"/>
  <c r="J12" i="1"/>
  <c r="J11" i="1"/>
  <c r="J10" i="1"/>
  <c r="E8" i="1"/>
  <c r="E9" i="1"/>
  <c r="E7" i="1"/>
  <c r="H33" i="1" l="1"/>
  <c r="E19" i="1"/>
  <c r="F19" i="1"/>
  <c r="G11" i="1"/>
  <c r="H11" i="1" s="1"/>
  <c r="G9" i="1"/>
  <c r="H9" i="1" s="1"/>
  <c r="J8" i="1"/>
  <c r="J9" i="1"/>
  <c r="G8" i="1"/>
  <c r="H8" i="1" s="1"/>
  <c r="J21" i="1"/>
  <c r="J33" i="1" s="1"/>
  <c r="G21" i="1" l="1"/>
  <c r="H21" i="1" s="1"/>
  <c r="J7" i="1"/>
  <c r="J19" i="1" s="1"/>
  <c r="G7" i="1"/>
  <c r="G48" i="1"/>
  <c r="E48" i="1" s="1"/>
  <c r="H7" i="1" l="1"/>
  <c r="H19" i="1" l="1"/>
</calcChain>
</file>

<file path=xl/sharedStrings.xml><?xml version="1.0" encoding="utf-8"?>
<sst xmlns="http://schemas.openxmlformats.org/spreadsheetml/2006/main" count="63" uniqueCount="63">
  <si>
    <t>FAUQUIER CHAMBER</t>
  </si>
  <si>
    <t>Chamber Master Monthly Renewal Invoice Report</t>
  </si>
  <si>
    <t>Date Generated</t>
  </si>
  <si>
    <t>Renewal Month</t>
  </si>
  <si>
    <t>Value of Renewals</t>
  </si>
  <si>
    <t>Credits/Drops</t>
  </si>
  <si>
    <t>Updated Value</t>
  </si>
  <si>
    <t># Unpaid Invoices</t>
  </si>
  <si>
    <t># Invoices Sent</t>
  </si>
  <si>
    <t>Unpaid Balance</t>
  </si>
  <si>
    <t>Amt Paid</t>
  </si>
  <si>
    <t>% Paid to Renewals Sent</t>
  </si>
  <si>
    <t>Dues</t>
  </si>
  <si>
    <t>Sponsorships</t>
  </si>
  <si>
    <t>Current</t>
  </si>
  <si>
    <t>1-30 Days</t>
  </si>
  <si>
    <t>31-60 Days</t>
  </si>
  <si>
    <t>61-90 Days</t>
  </si>
  <si>
    <t>91 - 120 Days</t>
  </si>
  <si>
    <t>120+ Days</t>
  </si>
  <si>
    <t>12.2.21</t>
  </si>
  <si>
    <t>2022 TOTALS</t>
  </si>
  <si>
    <t>2022 Average % Paid</t>
  </si>
  <si>
    <t>1.3.22</t>
  </si>
  <si>
    <t>2.2.22</t>
  </si>
  <si>
    <t>3.1.22</t>
  </si>
  <si>
    <t>4.4.22</t>
  </si>
  <si>
    <t>5.4.22</t>
  </si>
  <si>
    <t>6.1.22</t>
  </si>
  <si>
    <t>7.5.22</t>
  </si>
  <si>
    <t>AR 90+</t>
  </si>
  <si>
    <t>Ratio</t>
  </si>
  <si>
    <t>8.1.22</t>
  </si>
  <si>
    <t xml:space="preserve">Events </t>
  </si>
  <si>
    <t>9.1.22</t>
  </si>
  <si>
    <t>10.5.22</t>
  </si>
  <si>
    <t>11.1.22</t>
  </si>
  <si>
    <t>2023 TOTAL</t>
  </si>
  <si>
    <t>12.5.22</t>
  </si>
  <si>
    <t>2023 Average % Paid</t>
  </si>
  <si>
    <t>A/R 2022 Dues</t>
  </si>
  <si>
    <t>1.3.23</t>
  </si>
  <si>
    <t>2.2.23</t>
  </si>
  <si>
    <t>3.2.23</t>
  </si>
  <si>
    <t>4.3.23</t>
  </si>
  <si>
    <t>5.1.23</t>
  </si>
  <si>
    <t>5.8.23</t>
  </si>
  <si>
    <t>ERROR w/ChamberMaster - Generated 1 month early!</t>
  </si>
  <si>
    <t>7.3.23</t>
  </si>
  <si>
    <t>8.1.23</t>
  </si>
  <si>
    <t>9.2.23</t>
  </si>
  <si>
    <t>10.1.23</t>
  </si>
  <si>
    <t>11.3.23</t>
  </si>
  <si>
    <t>12.1.23</t>
  </si>
  <si>
    <t>2024 TOTAL</t>
  </si>
  <si>
    <t>Ribbon Cutting</t>
  </si>
  <si>
    <t>Based on Monthly Batch Summaries from Chamber Master as of 1.2.24</t>
  </si>
  <si>
    <t>ACCOUNTS RECEIVEABLE REPORT AS OF 12.31.23</t>
  </si>
  <si>
    <t>1.2.24</t>
  </si>
  <si>
    <t>AR 2023 Dues</t>
  </si>
  <si>
    <t>AR 24 Dues</t>
  </si>
  <si>
    <t>CATEGORY BREAKOUT OF AR as of 12.31.23</t>
  </si>
  <si>
    <t>Per ChamberMaster AR Report 12.31.23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</si>
</sst>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i/>
      <sz val="11"/>
      <color rgb="FF00B0F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rgb="FF00B050"/>
      </left>
      <right/>
      <top style="thick">
        <color rgb="FF00B050"/>
      </top>
      <bottom style="thick">
        <color rgb="FF00B050"/>
      </bottom>
      <diagonal/>
    </border>
    <border>
      <left/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thick">
        <color rgb="FF0070C0"/>
      </left>
      <right/>
      <top style="thick">
        <color rgb="FF0070C0"/>
      </top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ck">
        <color rgb="FF0070C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/>
    <xf numFmtId="8" fontId="0" fillId="0" borderId="0" xfId="0" applyNumberFormat="1"/>
    <xf numFmtId="8" fontId="2" fillId="0" borderId="1" xfId="0" applyNumberFormat="1" applyFont="1" applyBorder="1" applyAlignment="1">
      <alignment horizontal="center" wrapText="1"/>
    </xf>
    <xf numFmtId="164" fontId="3" fillId="0" borderId="0" xfId="0" applyNumberFormat="1" applyFont="1"/>
    <xf numFmtId="164" fontId="2" fillId="0" borderId="0" xfId="0" applyNumberFormat="1" applyFont="1"/>
    <xf numFmtId="9" fontId="0" fillId="0" borderId="0" xfId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5" fillId="0" borderId="0" xfId="0" applyNumberFormat="1" applyFont="1"/>
    <xf numFmtId="0" fontId="7" fillId="0" borderId="0" xfId="0" applyFont="1"/>
    <xf numFmtId="0" fontId="8" fillId="0" borderId="0" xfId="0" applyFont="1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2" fillId="0" borderId="3" xfId="0" applyFont="1" applyBorder="1" applyAlignment="1">
      <alignment horizontal="center"/>
    </xf>
    <xf numFmtId="164" fontId="2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17" fontId="9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right"/>
    </xf>
    <xf numFmtId="8" fontId="0" fillId="0" borderId="0" xfId="0" applyNumberFormat="1" applyAlignment="1">
      <alignment horizontal="right"/>
    </xf>
    <xf numFmtId="8" fontId="2" fillId="0" borderId="0" xfId="0" applyNumberFormat="1" applyFont="1"/>
    <xf numFmtId="9" fontId="10" fillId="0" borderId="10" xfId="0" applyNumberFormat="1" applyFont="1" applyBorder="1" applyAlignment="1">
      <alignment horizontal="center"/>
    </xf>
    <xf numFmtId="0" fontId="10" fillId="0" borderId="11" xfId="0" applyFont="1" applyBorder="1"/>
    <xf numFmtId="0" fontId="11" fillId="0" borderId="1" xfId="0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8" fontId="13" fillId="0" borderId="0" xfId="0" applyNumberFormat="1" applyFont="1"/>
    <xf numFmtId="164" fontId="2" fillId="2" borderId="0" xfId="0" applyNumberFormat="1" applyFont="1" applyFill="1"/>
    <xf numFmtId="0" fontId="11" fillId="2" borderId="0" xfId="0" applyFont="1" applyFill="1" applyAlignment="1">
      <alignment horizontal="center"/>
    </xf>
    <xf numFmtId="9" fontId="0" fillId="0" borderId="0" xfId="1" applyFont="1" applyFill="1" applyAlignment="1">
      <alignment horizontal="center"/>
    </xf>
    <xf numFmtId="8" fontId="12" fillId="0" borderId="0" xfId="0" applyNumberFormat="1" applyFont="1"/>
    <xf numFmtId="164" fontId="3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9" fontId="8" fillId="0" borderId="0" xfId="1" applyFont="1"/>
    <xf numFmtId="0" fontId="14" fillId="0" borderId="0" xfId="0" applyFont="1"/>
    <xf numFmtId="14" fontId="0" fillId="0" borderId="0" xfId="0" applyNumberFormat="1" applyAlignment="1">
      <alignment horizontal="center"/>
    </xf>
    <xf numFmtId="16" fontId="0" fillId="0" borderId="0" xfId="0" applyNumberFormat="1" applyAlignment="1">
      <alignment horizontal="center"/>
    </xf>
    <xf numFmtId="0" fontId="0" fillId="0" borderId="5" xfId="0" applyBorder="1"/>
    <xf numFmtId="0" fontId="0" fillId="0" borderId="7" xfId="0" applyBorder="1"/>
    <xf numFmtId="9" fontId="10" fillId="0" borderId="0" xfId="0" applyNumberFormat="1" applyFont="1" applyAlignment="1">
      <alignment horizontal="center"/>
    </xf>
    <xf numFmtId="0" fontId="10" fillId="0" borderId="0" xfId="0" applyFont="1"/>
    <xf numFmtId="9" fontId="15" fillId="0" borderId="12" xfId="0" applyNumberFormat="1" applyFont="1" applyBorder="1" applyAlignment="1">
      <alignment horizontal="center"/>
    </xf>
    <xf numFmtId="0" fontId="15" fillId="0" borderId="13" xfId="0" applyFont="1" applyBorder="1"/>
    <xf numFmtId="9" fontId="15" fillId="0" borderId="0" xfId="0" applyNumberFormat="1" applyFont="1" applyAlignment="1">
      <alignment horizontal="center"/>
    </xf>
    <xf numFmtId="0" fontId="15" fillId="0" borderId="0" xfId="0" applyFont="1"/>
    <xf numFmtId="164" fontId="0" fillId="0" borderId="0" xfId="0" applyNumberFormat="1" applyAlignment="1">
      <alignment horizontal="right"/>
    </xf>
    <xf numFmtId="0" fontId="0" fillId="0" borderId="3" xfId="0" applyBorder="1"/>
    <xf numFmtId="164" fontId="0" fillId="0" borderId="8" xfId="0" applyNumberFormat="1" applyBorder="1" applyAlignment="1">
      <alignment horizontal="right"/>
    </xf>
    <xf numFmtId="0" fontId="16" fillId="0" borderId="0" xfId="0" applyFont="1"/>
    <xf numFmtId="14" fontId="16" fillId="0" borderId="0" xfId="0" applyNumberFormat="1" applyFont="1" applyAlignment="1">
      <alignment horizontal="center"/>
    </xf>
    <xf numFmtId="17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164" fontId="2" fillId="0" borderId="4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0" fillId="0" borderId="0" xfId="0" applyNumberFormat="1" applyFont="1"/>
    <xf numFmtId="8" fontId="17" fillId="0" borderId="0" xfId="0" applyNumberFormat="1" applyFont="1"/>
    <xf numFmtId="0" fontId="11" fillId="0" borderId="0" xfId="0" applyFont="1" applyFill="1" applyAlignment="1">
      <alignment horizontal="center"/>
    </xf>
    <xf numFmtId="164" fontId="2" fillId="0" borderId="0" xfId="0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7706C-4B4D-43C5-94EF-B7B43908C53A}">
  <sheetPr>
    <pageSetUpPr fitToPage="1"/>
  </sheetPr>
  <dimension ref="A1:K52"/>
  <sheetViews>
    <sheetView tabSelected="1" topLeftCell="A32" workbookViewId="0">
      <selection activeCell="B46" sqref="B46"/>
    </sheetView>
  </sheetViews>
  <sheetFormatPr defaultRowHeight="14.5" x14ac:dyDescent="0.35"/>
  <cols>
    <col min="1" max="1" width="14.36328125" customWidth="1"/>
    <col min="2" max="2" width="18.90625" customWidth="1"/>
    <col min="3" max="3" width="8.90625" style="3"/>
    <col min="4" max="4" width="10" style="3" bestFit="1" customWidth="1"/>
    <col min="5" max="5" width="12.90625" customWidth="1"/>
    <col min="6" max="6" width="13.08984375" style="5" customWidth="1"/>
    <col min="7" max="7" width="21.6328125" customWidth="1"/>
    <col min="8" max="8" width="10" bestFit="1" customWidth="1"/>
    <col min="9" max="9" width="13.90625" customWidth="1"/>
    <col min="10" max="10" width="10.90625" style="3" customWidth="1"/>
    <col min="11" max="11" width="20.6328125" customWidth="1"/>
    <col min="12" max="12" width="10" bestFit="1" customWidth="1"/>
  </cols>
  <sheetData>
    <row r="1" spans="1:10" x14ac:dyDescent="0.35">
      <c r="A1" t="s">
        <v>0</v>
      </c>
    </row>
    <row r="2" spans="1:10" x14ac:dyDescent="0.35">
      <c r="A2" t="s">
        <v>1</v>
      </c>
    </row>
    <row r="3" spans="1:10" x14ac:dyDescent="0.35">
      <c r="A3" t="s">
        <v>56</v>
      </c>
    </row>
    <row r="5" spans="1:10" ht="18.5" x14ac:dyDescent="0.45">
      <c r="A5" s="60" t="s">
        <v>57</v>
      </c>
      <c r="B5" s="60"/>
      <c r="C5" s="60"/>
      <c r="D5" s="60"/>
      <c r="E5" s="60"/>
      <c r="F5" s="60"/>
      <c r="G5" s="60"/>
      <c r="H5" s="60"/>
      <c r="I5" s="60"/>
      <c r="J5" s="60"/>
    </row>
    <row r="6" spans="1:10" ht="43.5" x14ac:dyDescent="0.35">
      <c r="A6" s="1" t="s">
        <v>2</v>
      </c>
      <c r="B6" s="1" t="s">
        <v>3</v>
      </c>
      <c r="C6" s="2" t="s">
        <v>8</v>
      </c>
      <c r="D6" s="31" t="s">
        <v>7</v>
      </c>
      <c r="E6" s="2" t="s">
        <v>4</v>
      </c>
      <c r="F6" s="6" t="s">
        <v>5</v>
      </c>
      <c r="G6" s="1" t="s">
        <v>6</v>
      </c>
      <c r="H6" s="2" t="s">
        <v>9</v>
      </c>
      <c r="I6" s="2" t="s">
        <v>10</v>
      </c>
      <c r="J6" s="2" t="s">
        <v>11</v>
      </c>
    </row>
    <row r="7" spans="1:10" x14ac:dyDescent="0.35">
      <c r="A7" s="3" t="s">
        <v>20</v>
      </c>
      <c r="B7" s="22">
        <v>44562</v>
      </c>
      <c r="C7" s="3">
        <v>33</v>
      </c>
      <c r="D7" s="32">
        <v>0</v>
      </c>
      <c r="E7" s="4">
        <f>20.42+7731.25</f>
        <v>7751.67</v>
      </c>
      <c r="F7" s="5">
        <f>-(2796.25+165)</f>
        <v>-2961.25</v>
      </c>
      <c r="G7" s="4">
        <f t="shared" ref="G7:G16" si="0">+E7+F7</f>
        <v>4790.42</v>
      </c>
      <c r="H7" s="8">
        <f t="shared" ref="H7:H12" si="1">+G7-I7</f>
        <v>0</v>
      </c>
      <c r="I7" s="4">
        <f>4770+20.42</f>
        <v>4790.42</v>
      </c>
      <c r="J7" s="9">
        <f t="shared" ref="J7:J16" si="2">+I7/E7</f>
        <v>0.61798554376024784</v>
      </c>
    </row>
    <row r="8" spans="1:10" x14ac:dyDescent="0.35">
      <c r="A8" s="3" t="s">
        <v>23</v>
      </c>
      <c r="B8" s="22">
        <v>44614</v>
      </c>
      <c r="C8" s="3">
        <v>30</v>
      </c>
      <c r="D8" s="32">
        <v>0</v>
      </c>
      <c r="E8" s="4">
        <f>20.42+10310</f>
        <v>10330.42</v>
      </c>
      <c r="F8" s="38">
        <v>-1860</v>
      </c>
      <c r="G8" s="4">
        <f t="shared" si="0"/>
        <v>8470.42</v>
      </c>
      <c r="H8" s="8">
        <f t="shared" si="1"/>
        <v>0</v>
      </c>
      <c r="I8" s="4">
        <f>8450+20.42</f>
        <v>8470.42</v>
      </c>
      <c r="J8" s="9">
        <f t="shared" si="2"/>
        <v>0.81994923730109714</v>
      </c>
    </row>
    <row r="9" spans="1:10" x14ac:dyDescent="0.35">
      <c r="A9" s="3" t="s">
        <v>24</v>
      </c>
      <c r="B9" s="22">
        <v>44621</v>
      </c>
      <c r="C9" s="3">
        <v>31</v>
      </c>
      <c r="D9" s="32">
        <v>0</v>
      </c>
      <c r="E9" s="4">
        <f>7942.5+20.41</f>
        <v>7962.91</v>
      </c>
      <c r="F9" s="38">
        <f>-(1695+490)</f>
        <v>-2185</v>
      </c>
      <c r="G9" s="4">
        <f t="shared" si="0"/>
        <v>5777.91</v>
      </c>
      <c r="H9" s="8">
        <f t="shared" si="1"/>
        <v>0</v>
      </c>
      <c r="I9" s="4">
        <f>5757.5+20.41</f>
        <v>5777.91</v>
      </c>
      <c r="J9" s="9">
        <f t="shared" si="2"/>
        <v>0.72560282610251781</v>
      </c>
    </row>
    <row r="10" spans="1:10" x14ac:dyDescent="0.35">
      <c r="A10" s="3" t="s">
        <v>25</v>
      </c>
      <c r="B10" s="22">
        <v>44673</v>
      </c>
      <c r="C10" s="3">
        <v>19</v>
      </c>
      <c r="D10" s="32">
        <v>0</v>
      </c>
      <c r="E10" s="4">
        <v>5650</v>
      </c>
      <c r="F10" s="38">
        <f>-(1525+735)</f>
        <v>-2260</v>
      </c>
      <c r="G10" s="4">
        <f t="shared" si="0"/>
        <v>3390</v>
      </c>
      <c r="H10" s="8">
        <f t="shared" si="1"/>
        <v>0</v>
      </c>
      <c r="I10" s="4">
        <v>3390</v>
      </c>
      <c r="J10" s="9">
        <f t="shared" si="2"/>
        <v>0.6</v>
      </c>
    </row>
    <row r="11" spans="1:10" x14ac:dyDescent="0.35">
      <c r="A11" s="3" t="s">
        <v>26</v>
      </c>
      <c r="B11" s="22">
        <v>44682</v>
      </c>
      <c r="C11" s="3">
        <v>27</v>
      </c>
      <c r="D11" s="32">
        <v>0</v>
      </c>
      <c r="E11" s="4">
        <v>7180</v>
      </c>
      <c r="F11" s="38">
        <f>-(3565+330)</f>
        <v>-3895</v>
      </c>
      <c r="G11" s="4">
        <f t="shared" si="0"/>
        <v>3285</v>
      </c>
      <c r="H11" s="8">
        <f t="shared" si="1"/>
        <v>0</v>
      </c>
      <c r="I11" s="4">
        <v>3285</v>
      </c>
      <c r="J11" s="9">
        <f t="shared" si="2"/>
        <v>0.45752089136490248</v>
      </c>
    </row>
    <row r="12" spans="1:10" x14ac:dyDescent="0.35">
      <c r="A12" s="3" t="s">
        <v>27</v>
      </c>
      <c r="B12" s="22">
        <v>44713</v>
      </c>
      <c r="C12" s="3">
        <v>14</v>
      </c>
      <c r="D12" s="32">
        <v>0</v>
      </c>
      <c r="E12" s="4">
        <v>4350</v>
      </c>
      <c r="F12" s="38">
        <f>-(1080+245)</f>
        <v>-1325</v>
      </c>
      <c r="G12" s="4">
        <f t="shared" si="0"/>
        <v>3025</v>
      </c>
      <c r="H12" s="8">
        <f t="shared" si="1"/>
        <v>0</v>
      </c>
      <c r="I12" s="4">
        <v>3025</v>
      </c>
      <c r="J12" s="9">
        <f t="shared" si="2"/>
        <v>0.6954022988505747</v>
      </c>
    </row>
    <row r="13" spans="1:10" x14ac:dyDescent="0.35">
      <c r="A13" s="3" t="s">
        <v>28</v>
      </c>
      <c r="B13" s="22">
        <v>44743</v>
      </c>
      <c r="C13" s="3">
        <v>13</v>
      </c>
      <c r="D13" s="32">
        <v>0</v>
      </c>
      <c r="E13" s="4">
        <v>3195</v>
      </c>
      <c r="F13" s="38">
        <f>-(490+870)</f>
        <v>-1360</v>
      </c>
      <c r="G13" s="4">
        <f t="shared" si="0"/>
        <v>1835</v>
      </c>
      <c r="H13" s="8">
        <f t="shared" ref="H13:H18" si="3">+G13-I13</f>
        <v>0</v>
      </c>
      <c r="I13" s="4">
        <v>1835</v>
      </c>
      <c r="J13" s="37">
        <f t="shared" si="2"/>
        <v>0.57433489827856021</v>
      </c>
    </row>
    <row r="14" spans="1:10" x14ac:dyDescent="0.35">
      <c r="A14" s="3" t="s">
        <v>29</v>
      </c>
      <c r="B14" s="22">
        <v>44795</v>
      </c>
      <c r="C14" s="3">
        <v>34</v>
      </c>
      <c r="D14" s="67">
        <v>0</v>
      </c>
      <c r="E14" s="4">
        <v>9070</v>
      </c>
      <c r="F14" s="38">
        <f>-(1195+1205)</f>
        <v>-2400</v>
      </c>
      <c r="G14" s="4">
        <f t="shared" si="0"/>
        <v>6670</v>
      </c>
      <c r="H14" s="68">
        <f t="shared" si="3"/>
        <v>0</v>
      </c>
      <c r="I14" s="4">
        <v>6670</v>
      </c>
      <c r="J14" s="37">
        <f t="shared" si="2"/>
        <v>0.7353914002205072</v>
      </c>
    </row>
    <row r="15" spans="1:10" x14ac:dyDescent="0.35">
      <c r="A15" s="3" t="s">
        <v>32</v>
      </c>
      <c r="B15" s="22">
        <v>44805</v>
      </c>
      <c r="C15" s="3">
        <v>22</v>
      </c>
      <c r="D15" s="32">
        <v>0</v>
      </c>
      <c r="E15" s="4">
        <v>6572.5</v>
      </c>
      <c r="F15" s="38">
        <f>-(1780+490)</f>
        <v>-2270</v>
      </c>
      <c r="G15" s="4">
        <f t="shared" si="0"/>
        <v>4302.5</v>
      </c>
      <c r="H15" s="8">
        <f t="shared" si="3"/>
        <v>0</v>
      </c>
      <c r="I15" s="4">
        <v>4302.5</v>
      </c>
      <c r="J15" s="37">
        <f t="shared" si="2"/>
        <v>0.65462152909851656</v>
      </c>
    </row>
    <row r="16" spans="1:10" x14ac:dyDescent="0.35">
      <c r="A16" s="3" t="s">
        <v>34</v>
      </c>
      <c r="B16" s="22">
        <v>44835</v>
      </c>
      <c r="C16" s="3">
        <v>34</v>
      </c>
      <c r="D16" s="32">
        <v>0</v>
      </c>
      <c r="E16" s="4">
        <v>9025</v>
      </c>
      <c r="F16" s="38">
        <v>-1620</v>
      </c>
      <c r="G16" s="4">
        <f t="shared" si="0"/>
        <v>7405</v>
      </c>
      <c r="H16" s="8">
        <f t="shared" si="3"/>
        <v>0</v>
      </c>
      <c r="I16" s="4">
        <v>7405</v>
      </c>
      <c r="J16" s="37">
        <f t="shared" si="2"/>
        <v>0.82049861495844878</v>
      </c>
    </row>
    <row r="17" spans="1:11" x14ac:dyDescent="0.35">
      <c r="A17" s="3" t="s">
        <v>35</v>
      </c>
      <c r="B17" s="22">
        <v>44866</v>
      </c>
      <c r="C17" s="3">
        <v>25</v>
      </c>
      <c r="D17" s="32">
        <v>0</v>
      </c>
      <c r="E17" s="4">
        <v>7315</v>
      </c>
      <c r="F17" s="38">
        <v>-2075</v>
      </c>
      <c r="G17" s="4">
        <f t="shared" ref="G17:G18" si="4">+E17+F17</f>
        <v>5240</v>
      </c>
      <c r="H17" s="8">
        <f t="shared" si="3"/>
        <v>0</v>
      </c>
      <c r="I17" s="4">
        <v>5240</v>
      </c>
      <c r="J17" s="37">
        <f t="shared" ref="J17:J18" si="5">+I17/E17</f>
        <v>0.71633629528366372</v>
      </c>
    </row>
    <row r="18" spans="1:11" ht="15" thickBot="1" x14ac:dyDescent="0.4">
      <c r="A18" s="43" t="s">
        <v>36</v>
      </c>
      <c r="B18" s="22">
        <v>44896</v>
      </c>
      <c r="C18" s="3">
        <v>60</v>
      </c>
      <c r="D18" s="32">
        <v>0</v>
      </c>
      <c r="E18" s="7">
        <v>22760</v>
      </c>
      <c r="F18" s="34">
        <v>-3530</v>
      </c>
      <c r="G18" s="4">
        <f t="shared" si="4"/>
        <v>19230</v>
      </c>
      <c r="H18" s="11">
        <f t="shared" si="3"/>
        <v>0</v>
      </c>
      <c r="I18" s="4">
        <v>19230</v>
      </c>
      <c r="J18" s="37">
        <f t="shared" si="5"/>
        <v>0.84490333919156413</v>
      </c>
    </row>
    <row r="19" spans="1:11" ht="15.5" thickTop="1" thickBot="1" x14ac:dyDescent="0.4">
      <c r="D19" s="26" t="s">
        <v>21</v>
      </c>
      <c r="E19" s="8">
        <f>SUM(E7:E18)</f>
        <v>101162.5</v>
      </c>
      <c r="F19" s="66">
        <f>SUM(F7:F18)</f>
        <v>-27741.25</v>
      </c>
      <c r="G19" s="19" t="s">
        <v>40</v>
      </c>
      <c r="H19" s="8">
        <f>SUM(H7:H18)</f>
        <v>0</v>
      </c>
      <c r="J19" s="29">
        <f>AVERAGE(J7:J18)</f>
        <v>0.68854557286754992</v>
      </c>
      <c r="K19" s="30" t="s">
        <v>22</v>
      </c>
    </row>
    <row r="20" spans="1:11" ht="15" thickTop="1" x14ac:dyDescent="0.35">
      <c r="D20" s="33"/>
      <c r="E20" s="8"/>
      <c r="F20" s="28"/>
      <c r="G20" s="19"/>
      <c r="H20" s="8"/>
      <c r="J20" s="47"/>
      <c r="K20" s="48"/>
    </row>
    <row r="21" spans="1:11" x14ac:dyDescent="0.35">
      <c r="A21" s="43" t="s">
        <v>38</v>
      </c>
      <c r="B21" s="22">
        <v>44927</v>
      </c>
      <c r="C21" s="3">
        <v>33</v>
      </c>
      <c r="D21" s="32">
        <v>0</v>
      </c>
      <c r="E21" s="4">
        <v>8320</v>
      </c>
      <c r="F21" s="38">
        <f>-(2730+345)</f>
        <v>-3075</v>
      </c>
      <c r="G21" s="4">
        <f t="shared" ref="G21:G32" si="6">+E21+F21</f>
        <v>5245</v>
      </c>
      <c r="H21" s="8">
        <f t="shared" ref="H21:H32" si="7">+G21-I21</f>
        <v>0</v>
      </c>
      <c r="I21" s="4">
        <v>5245</v>
      </c>
      <c r="J21" s="37">
        <f t="shared" ref="J21:J22" si="8">+I21/E21</f>
        <v>0.63040865384615385</v>
      </c>
    </row>
    <row r="22" spans="1:11" x14ac:dyDescent="0.35">
      <c r="A22" s="43" t="s">
        <v>41</v>
      </c>
      <c r="B22" s="22">
        <v>44958</v>
      </c>
      <c r="C22" s="3">
        <v>37</v>
      </c>
      <c r="D22" s="36">
        <v>2</v>
      </c>
      <c r="E22" s="4">
        <v>11330</v>
      </c>
      <c r="F22" s="38">
        <f>-(1050+1980)</f>
        <v>-3030</v>
      </c>
      <c r="G22" s="4">
        <f t="shared" si="6"/>
        <v>8300</v>
      </c>
      <c r="H22" s="35">
        <f t="shared" si="7"/>
        <v>590</v>
      </c>
      <c r="I22" s="4">
        <v>7710</v>
      </c>
      <c r="J22" s="37">
        <f t="shared" si="8"/>
        <v>0.68049426301853488</v>
      </c>
    </row>
    <row r="23" spans="1:11" x14ac:dyDescent="0.35">
      <c r="A23" s="43" t="s">
        <v>42</v>
      </c>
      <c r="B23" s="22">
        <v>45008</v>
      </c>
      <c r="C23" s="3">
        <v>35</v>
      </c>
      <c r="D23" s="32">
        <v>0</v>
      </c>
      <c r="E23" s="4">
        <v>8882.5</v>
      </c>
      <c r="F23" s="38">
        <v>-1255</v>
      </c>
      <c r="G23" s="4">
        <f t="shared" si="6"/>
        <v>7627.5</v>
      </c>
      <c r="H23" s="8">
        <f t="shared" si="7"/>
        <v>0</v>
      </c>
      <c r="I23" s="4">
        <v>7627.5</v>
      </c>
      <c r="J23" s="37">
        <f t="shared" ref="J23:J32" si="9">+I23/E23</f>
        <v>0.85871094849423024</v>
      </c>
    </row>
    <row r="24" spans="1:11" x14ac:dyDescent="0.35">
      <c r="A24" s="43" t="s">
        <v>43</v>
      </c>
      <c r="B24" s="22">
        <v>45017</v>
      </c>
      <c r="C24" s="3">
        <v>20</v>
      </c>
      <c r="D24" s="32">
        <v>0</v>
      </c>
      <c r="E24" s="4">
        <v>6435</v>
      </c>
      <c r="F24" s="38">
        <v>-590</v>
      </c>
      <c r="G24" s="4">
        <f t="shared" si="6"/>
        <v>5845</v>
      </c>
      <c r="H24" s="8">
        <f t="shared" si="7"/>
        <v>0</v>
      </c>
      <c r="I24" s="4">
        <v>5845</v>
      </c>
      <c r="J24" s="37">
        <f t="shared" si="9"/>
        <v>0.90831390831390835</v>
      </c>
    </row>
    <row r="25" spans="1:11" x14ac:dyDescent="0.35">
      <c r="A25" s="43" t="s">
        <v>44</v>
      </c>
      <c r="B25" s="22">
        <v>45069</v>
      </c>
      <c r="C25" s="3">
        <v>28</v>
      </c>
      <c r="D25" s="36">
        <v>1</v>
      </c>
      <c r="E25" s="4">
        <v>7575</v>
      </c>
      <c r="F25" s="38">
        <v>-1225</v>
      </c>
      <c r="G25" s="4">
        <f t="shared" si="6"/>
        <v>6350</v>
      </c>
      <c r="H25" s="35">
        <f t="shared" si="7"/>
        <v>1125</v>
      </c>
      <c r="I25" s="4">
        <v>5225</v>
      </c>
      <c r="J25" s="37">
        <f t="shared" si="9"/>
        <v>0.68976897689768979</v>
      </c>
    </row>
    <row r="26" spans="1:11" x14ac:dyDescent="0.35">
      <c r="A26" s="43" t="s">
        <v>45</v>
      </c>
      <c r="B26" s="22">
        <v>45078</v>
      </c>
      <c r="C26" s="3">
        <v>18</v>
      </c>
      <c r="D26" s="67">
        <v>0</v>
      </c>
      <c r="E26" s="4">
        <v>5060</v>
      </c>
      <c r="F26" s="38">
        <v>-1345</v>
      </c>
      <c r="G26" s="4">
        <f t="shared" si="6"/>
        <v>3715</v>
      </c>
      <c r="H26" s="68">
        <f t="shared" si="7"/>
        <v>0</v>
      </c>
      <c r="I26" s="4">
        <v>3715</v>
      </c>
      <c r="J26" s="37">
        <f t="shared" si="9"/>
        <v>0.73418972332015808</v>
      </c>
    </row>
    <row r="27" spans="1:11" x14ac:dyDescent="0.35">
      <c r="A27" s="57" t="s">
        <v>46</v>
      </c>
      <c r="B27" s="22">
        <v>45108</v>
      </c>
      <c r="C27" s="3">
        <v>11</v>
      </c>
      <c r="D27" s="36">
        <v>1</v>
      </c>
      <c r="E27" s="4">
        <v>2490</v>
      </c>
      <c r="F27" s="38">
        <v>-490</v>
      </c>
      <c r="G27" s="4">
        <f t="shared" si="6"/>
        <v>2000</v>
      </c>
      <c r="H27" s="35">
        <f t="shared" si="7"/>
        <v>165</v>
      </c>
      <c r="I27" s="4">
        <v>1835</v>
      </c>
      <c r="J27" s="37">
        <f t="shared" si="9"/>
        <v>0.73694779116465858</v>
      </c>
      <c r="K27" s="56" t="s">
        <v>47</v>
      </c>
    </row>
    <row r="28" spans="1:11" x14ac:dyDescent="0.35">
      <c r="A28" s="43" t="s">
        <v>48</v>
      </c>
      <c r="B28" s="22">
        <v>45139</v>
      </c>
      <c r="C28" s="3">
        <v>33</v>
      </c>
      <c r="D28" s="36">
        <v>1</v>
      </c>
      <c r="E28" s="4">
        <v>8730</v>
      </c>
      <c r="F28" s="38">
        <v>-980</v>
      </c>
      <c r="G28" s="4">
        <f t="shared" si="6"/>
        <v>7750</v>
      </c>
      <c r="H28" s="35">
        <f t="shared" si="7"/>
        <v>245</v>
      </c>
      <c r="I28" s="4">
        <v>7505</v>
      </c>
      <c r="J28" s="37">
        <f t="shared" si="9"/>
        <v>0.8596792668957618</v>
      </c>
      <c r="K28" s="56"/>
    </row>
    <row r="29" spans="1:11" x14ac:dyDescent="0.35">
      <c r="A29" s="43" t="s">
        <v>49</v>
      </c>
      <c r="B29" s="22">
        <v>45170</v>
      </c>
      <c r="C29" s="3">
        <v>20</v>
      </c>
      <c r="D29" s="36">
        <v>5</v>
      </c>
      <c r="E29" s="4">
        <v>6182.5</v>
      </c>
      <c r="F29" s="38">
        <v>-1615</v>
      </c>
      <c r="G29" s="4">
        <f t="shared" si="6"/>
        <v>4567.5</v>
      </c>
      <c r="H29" s="35">
        <f t="shared" si="7"/>
        <v>1360</v>
      </c>
      <c r="I29" s="4">
        <v>3207.5</v>
      </c>
      <c r="J29" s="37">
        <f t="shared" si="9"/>
        <v>0.51880307319045693</v>
      </c>
      <c r="K29" s="56"/>
    </row>
    <row r="30" spans="1:11" x14ac:dyDescent="0.35">
      <c r="A30" s="43" t="s">
        <v>50</v>
      </c>
      <c r="B30" s="22">
        <v>45200</v>
      </c>
      <c r="C30" s="3">
        <v>33</v>
      </c>
      <c r="D30" s="36">
        <v>8</v>
      </c>
      <c r="E30" s="4">
        <v>9185</v>
      </c>
      <c r="F30" s="38">
        <v>-925</v>
      </c>
      <c r="G30" s="4">
        <f t="shared" si="6"/>
        <v>8260</v>
      </c>
      <c r="H30" s="35">
        <f t="shared" si="7"/>
        <v>2685</v>
      </c>
      <c r="I30" s="4">
        <v>5575</v>
      </c>
      <c r="J30" s="37">
        <f t="shared" si="9"/>
        <v>0.60696788241698418</v>
      </c>
      <c r="K30" s="56"/>
    </row>
    <row r="31" spans="1:11" x14ac:dyDescent="0.35">
      <c r="A31" s="43" t="s">
        <v>51</v>
      </c>
      <c r="B31" s="22">
        <v>45231</v>
      </c>
      <c r="C31" s="3">
        <v>22</v>
      </c>
      <c r="D31" s="32">
        <v>3</v>
      </c>
      <c r="E31" s="4">
        <v>5975</v>
      </c>
      <c r="F31" s="38">
        <v>0</v>
      </c>
      <c r="G31" s="4">
        <f t="shared" si="6"/>
        <v>5975</v>
      </c>
      <c r="H31" s="8">
        <f t="shared" si="7"/>
        <v>835</v>
      </c>
      <c r="I31" s="4">
        <v>5140</v>
      </c>
      <c r="J31" s="37">
        <f t="shared" si="9"/>
        <v>0.8602510460251046</v>
      </c>
      <c r="K31" s="56"/>
    </row>
    <row r="32" spans="1:11" ht="15" thickBot="1" x14ac:dyDescent="0.4">
      <c r="A32" s="43" t="s">
        <v>52</v>
      </c>
      <c r="B32" s="22">
        <v>45261</v>
      </c>
      <c r="C32" s="3">
        <v>57</v>
      </c>
      <c r="D32" s="32">
        <v>18</v>
      </c>
      <c r="E32" s="7">
        <v>22250</v>
      </c>
      <c r="F32" s="34">
        <v>-735</v>
      </c>
      <c r="G32" s="4">
        <f t="shared" si="6"/>
        <v>21515</v>
      </c>
      <c r="H32" s="11">
        <f t="shared" si="7"/>
        <v>7290</v>
      </c>
      <c r="I32" s="4">
        <v>14225</v>
      </c>
      <c r="J32" s="37">
        <f t="shared" si="9"/>
        <v>0.63932584269662918</v>
      </c>
      <c r="K32" s="56"/>
    </row>
    <row r="33" spans="1:11" ht="15.5" thickTop="1" thickBot="1" x14ac:dyDescent="0.4">
      <c r="A33" s="43"/>
      <c r="B33" s="22"/>
      <c r="D33" s="26" t="s">
        <v>37</v>
      </c>
      <c r="E33" s="8">
        <f>SUM(E21:E32)</f>
        <v>102415</v>
      </c>
      <c r="F33" s="28">
        <f>SUM(F21:F32)</f>
        <v>-15265</v>
      </c>
      <c r="G33" s="19" t="s">
        <v>59</v>
      </c>
      <c r="H33" s="8">
        <f>+H21+H22+H23+H24+H25+H26+H27+H28+H29+H30+H31+H32</f>
        <v>14295</v>
      </c>
      <c r="I33" s="4"/>
      <c r="J33" s="49">
        <f>AVERAGE(J21:J32)</f>
        <v>0.72698844802335572</v>
      </c>
      <c r="K33" s="50" t="s">
        <v>39</v>
      </c>
    </row>
    <row r="34" spans="1:11" ht="15" thickTop="1" x14ac:dyDescent="0.35">
      <c r="A34" s="43"/>
      <c r="B34" s="22"/>
      <c r="D34" s="32"/>
      <c r="E34" s="7"/>
      <c r="F34" s="34"/>
      <c r="G34" s="19"/>
      <c r="H34" s="8"/>
      <c r="I34" s="4"/>
      <c r="J34" s="37"/>
    </row>
    <row r="35" spans="1:11" x14ac:dyDescent="0.35">
      <c r="A35" s="43" t="s">
        <v>53</v>
      </c>
      <c r="B35" s="58">
        <v>45315</v>
      </c>
      <c r="C35" s="3">
        <v>30</v>
      </c>
      <c r="D35" s="32">
        <v>17</v>
      </c>
      <c r="E35" s="65">
        <v>7180</v>
      </c>
      <c r="F35" s="38">
        <v>-710</v>
      </c>
      <c r="G35" s="4">
        <f t="shared" ref="G35" si="10">+E35+F35</f>
        <v>6470</v>
      </c>
      <c r="H35" s="8">
        <f t="shared" ref="H35" si="11">+G35-I35</f>
        <v>4340</v>
      </c>
      <c r="I35" s="4">
        <v>2130</v>
      </c>
      <c r="J35" s="37">
        <f t="shared" ref="J35" si="12">+I35/E35</f>
        <v>0.2966573816155989</v>
      </c>
    </row>
    <row r="36" spans="1:11" x14ac:dyDescent="0.35">
      <c r="A36" s="43" t="s">
        <v>58</v>
      </c>
      <c r="B36" s="58">
        <v>45323</v>
      </c>
      <c r="C36" s="3">
        <v>34</v>
      </c>
      <c r="D36" s="32">
        <v>34</v>
      </c>
      <c r="E36" s="7">
        <v>12355</v>
      </c>
      <c r="F36" s="34">
        <v>0</v>
      </c>
      <c r="G36" s="4">
        <f t="shared" ref="G36" si="13">+E36+F36</f>
        <v>12355</v>
      </c>
      <c r="H36" s="11">
        <f t="shared" ref="H36" si="14">+G36-I36</f>
        <v>12355</v>
      </c>
      <c r="I36" s="4">
        <v>0</v>
      </c>
      <c r="J36" s="37">
        <f t="shared" ref="J36" si="15">+I36/E36</f>
        <v>0</v>
      </c>
    </row>
    <row r="37" spans="1:11" x14ac:dyDescent="0.35">
      <c r="D37" s="59" t="s">
        <v>54</v>
      </c>
      <c r="E37" s="8">
        <f>+E35+E36</f>
        <v>19535</v>
      </c>
      <c r="F37" s="28">
        <f>+F35+F36</f>
        <v>-710</v>
      </c>
      <c r="G37" s="19" t="s">
        <v>60</v>
      </c>
      <c r="H37" s="8">
        <f>+H35+H36</f>
        <v>16695</v>
      </c>
      <c r="J37" s="51"/>
      <c r="K37" s="52"/>
    </row>
    <row r="38" spans="1:11" x14ac:dyDescent="0.35">
      <c r="D38" s="26"/>
      <c r="E38" s="8"/>
      <c r="H38" s="8"/>
    </row>
    <row r="39" spans="1:11" ht="15" thickBot="1" x14ac:dyDescent="0.4">
      <c r="D39" s="26"/>
      <c r="E39" s="8"/>
      <c r="H39" s="8"/>
    </row>
    <row r="40" spans="1:11" ht="15" thickTop="1" x14ac:dyDescent="0.35">
      <c r="I40" s="14"/>
      <c r="J40" s="18" t="s">
        <v>61</v>
      </c>
      <c r="K40" s="15"/>
    </row>
    <row r="41" spans="1:11" x14ac:dyDescent="0.35">
      <c r="A41" s="12"/>
      <c r="F41" s="23" t="s">
        <v>62</v>
      </c>
      <c r="G41" s="3"/>
      <c r="I41" s="45" t="s">
        <v>55</v>
      </c>
      <c r="J41" s="53">
        <v>100</v>
      </c>
      <c r="K41" s="16"/>
    </row>
    <row r="42" spans="1:11" x14ac:dyDescent="0.35">
      <c r="A42" s="13"/>
      <c r="B42" s="56"/>
      <c r="F42" s="3" t="s">
        <v>14</v>
      </c>
      <c r="G42" s="21">
        <v>4465</v>
      </c>
      <c r="I42" s="45" t="s">
        <v>33</v>
      </c>
      <c r="J42" s="53">
        <v>1002</v>
      </c>
      <c r="K42" s="16"/>
    </row>
    <row r="43" spans="1:11" x14ac:dyDescent="0.35">
      <c r="A43" s="13"/>
      <c r="F43" s="44" t="s">
        <v>15</v>
      </c>
      <c r="G43" s="21">
        <v>9500</v>
      </c>
      <c r="I43" s="45" t="s">
        <v>13</v>
      </c>
      <c r="J43" s="53">
        <v>6115</v>
      </c>
      <c r="K43" s="16"/>
    </row>
    <row r="44" spans="1:11" ht="15" thickBot="1" x14ac:dyDescent="0.4">
      <c r="A44" s="13"/>
      <c r="F44" s="3" t="s">
        <v>16</v>
      </c>
      <c r="G44" s="21">
        <v>4175</v>
      </c>
      <c r="I44" s="46" t="s">
        <v>12</v>
      </c>
      <c r="J44" s="55">
        <f>+H33+H35</f>
        <v>18635</v>
      </c>
      <c r="K44" s="17"/>
    </row>
    <row r="45" spans="1:11" ht="15.5" thickTop="1" thickBot="1" x14ac:dyDescent="0.4">
      <c r="A45" s="13"/>
      <c r="F45" s="3" t="s">
        <v>17</v>
      </c>
      <c r="G45" s="21">
        <v>3637</v>
      </c>
      <c r="I45" s="54"/>
      <c r="J45" s="53"/>
    </row>
    <row r="46" spans="1:11" ht="15" thickTop="1" x14ac:dyDescent="0.35">
      <c r="D46" s="63" t="s">
        <v>30</v>
      </c>
      <c r="E46" s="61">
        <f>+G46+G47</f>
        <v>5225</v>
      </c>
      <c r="F46" s="3" t="s">
        <v>18</v>
      </c>
      <c r="G46" s="21">
        <v>895</v>
      </c>
    </row>
    <row r="47" spans="1:11" ht="15" thickBot="1" x14ac:dyDescent="0.4">
      <c r="D47" s="64"/>
      <c r="E47" s="62"/>
      <c r="F47" s="3" t="s">
        <v>19</v>
      </c>
      <c r="G47" s="39">
        <v>4330</v>
      </c>
      <c r="H47" s="13"/>
    </row>
    <row r="48" spans="1:11" ht="15" thickTop="1" x14ac:dyDescent="0.35">
      <c r="D48" s="40" t="s">
        <v>31</v>
      </c>
      <c r="E48" s="41">
        <f>+E46/G48</f>
        <v>0.19350418487519444</v>
      </c>
      <c r="F48" s="3"/>
      <c r="G48" s="10">
        <f>SUM(G42:G47)</f>
        <v>27002</v>
      </c>
      <c r="I48" s="24"/>
      <c r="J48" s="25"/>
      <c r="K48" s="4"/>
    </row>
    <row r="49" spans="2:11" x14ac:dyDescent="0.35">
      <c r="I49" s="20"/>
      <c r="J49" s="21"/>
      <c r="K49" s="13"/>
    </row>
    <row r="50" spans="2:11" x14ac:dyDescent="0.35">
      <c r="F50" s="27"/>
      <c r="G50" s="39"/>
      <c r="K50" s="13"/>
    </row>
    <row r="52" spans="2:11" x14ac:dyDescent="0.35">
      <c r="B52" s="42"/>
    </row>
  </sheetData>
  <mergeCells count="3">
    <mergeCell ref="A5:J5"/>
    <mergeCell ref="E46:E47"/>
    <mergeCell ref="D46:D47"/>
  </mergeCells>
  <pageMargins left="0.25" right="0.25" top="0.25" bottom="0.25" header="0.3" footer="0.3"/>
  <pageSetup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Marsha</dc:creator>
  <cp:lastModifiedBy>marsha stumpo.com</cp:lastModifiedBy>
  <cp:lastPrinted>2023-12-05T15:51:52Z</cp:lastPrinted>
  <dcterms:created xsi:type="dcterms:W3CDTF">2020-10-01T19:04:57Z</dcterms:created>
  <dcterms:modified xsi:type="dcterms:W3CDTF">2024-01-02T16:03:04Z</dcterms:modified>
</cp:coreProperties>
</file>